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https://ifamcr-my.sharepoint.com/personal/rrodriguez_ifam_go_cr/Documents/PRESUPUESTO 2020/"/>
    </mc:Choice>
  </mc:AlternateContent>
  <xr:revisionPtr revIDLastSave="0" documentId="8_{C24AF44C-A87B-49EC-A3BA-BC9CC37A68E4}" xr6:coauthVersionLast="45" xr6:coauthVersionMax="45" xr10:uidLastSave="{00000000-0000-0000-0000-000000000000}"/>
  <bookViews>
    <workbookView xWindow="-120" yWindow="-120" windowWidth="19440" windowHeight="15000" tabRatio="713" activeTab="1" xr2:uid="{EB2BC662-BA11-4500-BE17-C866981A2ADD}"/>
  </bookViews>
  <sheets>
    <sheet name="MAPP IFAM 2020 PROG. I" sheetId="9" r:id="rId1"/>
    <sheet name="MAPP IFAM PROG. II" sheetId="7" r:id="rId2"/>
    <sheet name="RESUMEN Y GRÁFICOS" sheetId="19" r:id="rId3"/>
    <sheet name="FICHA TECNICA DEL INDICADOR (2)" sheetId="20" r:id="rId4"/>
    <sheet name="Hoja4" sheetId="18" state="hidden" r:id="rId5"/>
    <sheet name="FICHA TECNICA DEL INDICADOR" sheetId="11" state="hidden" r:id="rId6"/>
    <sheet name="Hoja1" sheetId="16" state="hidden" r:id="rId7"/>
    <sheet name="Hoja3" sheetId="17" state="hidden" r:id="rId8"/>
    <sheet name="Hoja2" sheetId="15" state="hidden" r:id="rId9"/>
    <sheet name="Resumen de metas" sheetId="13" state="hidden" r:id="rId10"/>
  </sheets>
  <externalReferences>
    <externalReference r:id="rId11"/>
    <externalReference r:id="rId12"/>
    <externalReference r:id="rId13"/>
    <externalReference r:id="rId14"/>
    <externalReference r:id="rId15"/>
  </externalReferences>
  <definedNames>
    <definedName name="_xlnm.Print_Area" localSheetId="0">'MAPP IFAM 2020 PROG. I'!$A$1:$AN$50</definedName>
    <definedName name="_xlnm.Print_Area" localSheetId="1">'MAPP IFAM PROG. II'!$A$1:$AK$43</definedName>
    <definedName name="CatCta">[1]!Tabla6[Catálogo de Cuentas]</definedName>
    <definedName name="L_dim">[1]!Tabla1[Dimensiones]</definedName>
    <definedName name="L_Program">[1]!Tabla2[Programa]</definedName>
    <definedName name="L1_P">[1]!Tabla3[SubPrograma 1]</definedName>
    <definedName name="L2_P">[1]!Tabla35[SubPrograma 2]</definedName>
    <definedName name="_xlnm.Print_Titles" localSheetId="0">'MAPP IFAM 2020 PROG. I'!$1:$17</definedName>
    <definedName name="_xlnm.Print_Titles" localSheetId="1">'MAPP IFAM PROG. II'!$1:$14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0" i="19" l="1"/>
  <c r="Q79" i="19"/>
  <c r="P78" i="19"/>
  <c r="P80" i="19"/>
  <c r="P79" i="19"/>
  <c r="Q78" i="19"/>
  <c r="M80" i="19"/>
  <c r="M79" i="19"/>
  <c r="M78" i="19"/>
  <c r="H81" i="19"/>
  <c r="G81" i="19"/>
  <c r="F81" i="19"/>
  <c r="E81" i="19"/>
  <c r="D81" i="19"/>
  <c r="J77" i="19"/>
  <c r="H77" i="19"/>
  <c r="F77" i="19"/>
  <c r="K77" i="19"/>
  <c r="I77" i="19"/>
  <c r="G77" i="19"/>
  <c r="E77" i="19"/>
  <c r="J76" i="19"/>
  <c r="H76" i="19"/>
  <c r="F76" i="19"/>
  <c r="J75" i="19"/>
  <c r="H75" i="19"/>
  <c r="F75" i="19"/>
  <c r="K75" i="19"/>
  <c r="AH38" i="9"/>
  <c r="AP38" i="9"/>
  <c r="I82" i="19"/>
  <c r="G82" i="19"/>
  <c r="E82" i="19"/>
  <c r="J81" i="19" l="1"/>
  <c r="I81" i="19"/>
  <c r="K81" i="19" s="1"/>
  <c r="K82" i="19"/>
  <c r="H47" i="19" l="1"/>
  <c r="F47" i="19"/>
  <c r="H46" i="19"/>
  <c r="F46" i="19"/>
  <c r="H45" i="19"/>
  <c r="F45" i="19"/>
  <c r="H44" i="19"/>
  <c r="F44" i="19"/>
  <c r="H43" i="19"/>
  <c r="F43" i="19"/>
  <c r="H26" i="19"/>
  <c r="F26" i="19"/>
  <c r="D47" i="19"/>
  <c r="I47" i="19" s="1"/>
  <c r="D46" i="19"/>
  <c r="D45" i="19"/>
  <c r="D44" i="19"/>
  <c r="D43" i="19"/>
  <c r="C211" i="19"/>
  <c r="A66" i="19"/>
  <c r="A65" i="19"/>
  <c r="D59" i="19"/>
  <c r="C49" i="19"/>
  <c r="C56" i="19" s="1"/>
  <c r="C34" i="19"/>
  <c r="C55" i="19" s="1"/>
  <c r="G33" i="19"/>
  <c r="J46" i="19" l="1"/>
  <c r="J44" i="19"/>
  <c r="G46" i="19"/>
  <c r="G44" i="19"/>
  <c r="J26" i="19"/>
  <c r="L26" i="19" s="1"/>
  <c r="G43" i="19"/>
  <c r="G47" i="19"/>
  <c r="F49" i="19"/>
  <c r="I46" i="19"/>
  <c r="I45" i="19"/>
  <c r="G45" i="19"/>
  <c r="K47" i="19"/>
  <c r="J43" i="19"/>
  <c r="J47" i="19"/>
  <c r="I43" i="19"/>
  <c r="I44" i="19"/>
  <c r="K44" i="19" s="1"/>
  <c r="H49" i="19"/>
  <c r="J45" i="19"/>
  <c r="C57" i="19"/>
  <c r="C51" i="19"/>
  <c r="D49" i="19"/>
  <c r="E44" i="19" s="1"/>
  <c r="K46" i="19" l="1"/>
  <c r="K43" i="19"/>
  <c r="K45" i="19"/>
  <c r="I49" i="19"/>
  <c r="H56" i="19"/>
  <c r="J49" i="19"/>
  <c r="E47" i="19"/>
  <c r="E43" i="19"/>
  <c r="E46" i="19"/>
  <c r="E45" i="19"/>
  <c r="D56" i="19"/>
  <c r="I56" i="19" l="1"/>
  <c r="K49" i="19"/>
  <c r="E49" i="19"/>
  <c r="F56" i="19" l="1"/>
  <c r="J56" i="19" s="1"/>
  <c r="G49" i="19"/>
  <c r="G56" i="19" l="1"/>
  <c r="K56" i="19" s="1"/>
  <c r="Z39" i="7" l="1"/>
  <c r="Z40" i="7"/>
  <c r="Z41" i="7"/>
  <c r="Z42" i="7"/>
  <c r="Z38" i="7"/>
  <c r="Z36" i="7"/>
  <c r="Z29" i="7"/>
  <c r="Z27" i="7"/>
  <c r="Z26" i="7"/>
  <c r="Z25" i="7"/>
  <c r="AJ25" i="7"/>
  <c r="Z23" i="7"/>
  <c r="AJ23" i="7"/>
  <c r="Z20" i="7"/>
  <c r="Z21" i="7"/>
  <c r="Z19" i="7"/>
  <c r="Z18" i="7"/>
  <c r="Z16" i="7"/>
  <c r="AF21" i="7"/>
  <c r="AF41" i="7"/>
  <c r="AB39" i="7"/>
  <c r="AB41" i="7"/>
  <c r="AF36" i="7"/>
  <c r="AF35" i="7"/>
  <c r="AB35" i="7"/>
  <c r="AF25" i="7"/>
  <c r="AB25" i="7"/>
  <c r="AB21" i="7"/>
  <c r="AF16" i="7"/>
  <c r="AB16" i="7"/>
  <c r="AJ45" i="9" l="1"/>
  <c r="AI43" i="9"/>
  <c r="B87" i="18"/>
  <c r="AJ49" i="9"/>
  <c r="AJ47" i="9"/>
  <c r="AJ42" i="9"/>
  <c r="AJ41" i="9"/>
  <c r="AJ40" i="9"/>
  <c r="AB43" i="9"/>
  <c r="AB47" i="9"/>
  <c r="B79" i="18" l="1"/>
  <c r="AJ37" i="9"/>
  <c r="C71" i="18"/>
  <c r="B70" i="18"/>
  <c r="AB37" i="9"/>
  <c r="C65" i="18"/>
  <c r="AB38" i="9"/>
  <c r="B64" i="18"/>
  <c r="F42" i="18" l="1"/>
  <c r="F41" i="18"/>
  <c r="F37" i="18"/>
  <c r="F49" i="18"/>
  <c r="D52" i="18"/>
  <c r="D49" i="18"/>
  <c r="D48" i="18"/>
  <c r="B48" i="18"/>
  <c r="B46" i="18"/>
  <c r="D44" i="18"/>
  <c r="D43" i="18"/>
  <c r="D42" i="18"/>
  <c r="B43" i="18"/>
  <c r="AB35" i="9" l="1"/>
  <c r="AB34" i="9"/>
  <c r="AB32" i="9"/>
  <c r="AC32" i="9" s="1"/>
  <c r="B30" i="18"/>
  <c r="B29" i="18"/>
  <c r="B21" i="18"/>
  <c r="B19" i="18"/>
  <c r="AB27" i="9"/>
  <c r="AB21" i="9"/>
  <c r="AB19" i="9"/>
  <c r="AB26" i="7" l="1"/>
  <c r="AG19" i="7" l="1"/>
  <c r="AJ43" i="9" l="1"/>
  <c r="C163" i="16"/>
  <c r="B159" i="16"/>
  <c r="A159" i="16"/>
  <c r="C159" i="16"/>
  <c r="C158" i="16"/>
  <c r="C157" i="16"/>
  <c r="B147" i="16"/>
  <c r="AJ38" i="9" s="1"/>
  <c r="A147" i="16"/>
  <c r="C136" i="16"/>
  <c r="B136" i="16"/>
  <c r="A136" i="16"/>
  <c r="AA18" i="7" l="1"/>
  <c r="AH41" i="9" l="1"/>
  <c r="AH42" i="9"/>
  <c r="AH43" i="9"/>
  <c r="AH44" i="9"/>
  <c r="AH45" i="9"/>
  <c r="AH46" i="9"/>
  <c r="AH47" i="9"/>
  <c r="AH48" i="9"/>
  <c r="AH49" i="9"/>
  <c r="AH37" i="9"/>
  <c r="AH35" i="9"/>
  <c r="AH34" i="9"/>
  <c r="AH32" i="9"/>
  <c r="AH30" i="9"/>
  <c r="AH29" i="9"/>
  <c r="AH27" i="9"/>
  <c r="AH26" i="9"/>
  <c r="AH25" i="9"/>
  <c r="AH23" i="9"/>
  <c r="AH19" i="9"/>
  <c r="AH21" i="9"/>
  <c r="AE23" i="7" l="1"/>
  <c r="AE42" i="7" l="1"/>
  <c r="AE38" i="7"/>
  <c r="AE41" i="7"/>
  <c r="AE35" i="7"/>
  <c r="AE36" i="7"/>
  <c r="AE25" i="7"/>
  <c r="AE21" i="7"/>
  <c r="AE16" i="7"/>
  <c r="AI42" i="9"/>
  <c r="AI41" i="9"/>
  <c r="AI40" i="9"/>
  <c r="AI49" i="9"/>
  <c r="AI47" i="9"/>
  <c r="C114" i="16"/>
  <c r="B110" i="16"/>
  <c r="C110" i="16"/>
  <c r="A110" i="16"/>
  <c r="AI45" i="9"/>
  <c r="B103" i="16"/>
  <c r="B99" i="16"/>
  <c r="AC38" i="9"/>
  <c r="C92" i="16"/>
  <c r="A92" i="16"/>
  <c r="B92" i="16"/>
  <c r="AI35" i="9"/>
  <c r="AI34" i="9"/>
  <c r="AI32" i="9"/>
  <c r="AO15" i="9" s="1"/>
  <c r="AJ32" i="9" s="1"/>
  <c r="AI29" i="9"/>
  <c r="AI30" i="9"/>
  <c r="AI25" i="9"/>
  <c r="AO25" i="9" s="1"/>
  <c r="AJ27" i="9" s="1"/>
  <c r="AI21" i="9"/>
  <c r="AJ21" i="9" s="1"/>
  <c r="AC21" i="9"/>
  <c r="B4" i="18" s="1"/>
  <c r="B6" i="18" s="1"/>
  <c r="AI19" i="9"/>
  <c r="AK19" i="9" l="1"/>
  <c r="AJ19" i="9"/>
  <c r="H24" i="19" s="1"/>
  <c r="AF38" i="9"/>
  <c r="C64" i="18"/>
  <c r="AB22" i="9"/>
  <c r="AC23" i="9"/>
  <c r="A75" i="16" l="1"/>
  <c r="AE40" i="7" l="1"/>
  <c r="AK42" i="7"/>
  <c r="AK41" i="7"/>
  <c r="AK40" i="7"/>
  <c r="AK39" i="7"/>
  <c r="AK38" i="7"/>
  <c r="AE50" i="9"/>
  <c r="AG39" i="7" l="1"/>
  <c r="AG40" i="7"/>
  <c r="AG41" i="7"/>
  <c r="AG42" i="7"/>
  <c r="AG38" i="7"/>
  <c r="AF37" i="7"/>
  <c r="C55" i="16"/>
  <c r="C53" i="16"/>
  <c r="C52" i="16"/>
  <c r="C51" i="16"/>
  <c r="C54" i="16"/>
  <c r="C49" i="16" s="1"/>
  <c r="C45" i="16"/>
  <c r="C66" i="16"/>
  <c r="C65" i="16"/>
  <c r="C64" i="16"/>
  <c r="C63" i="16"/>
  <c r="C62" i="16"/>
  <c r="C61" i="16"/>
  <c r="AC42" i="7"/>
  <c r="AC39" i="7"/>
  <c r="AC40" i="7"/>
  <c r="AC38" i="7"/>
  <c r="AB37" i="7"/>
  <c r="AE28" i="7"/>
  <c r="AF28" i="7"/>
  <c r="AG29" i="7"/>
  <c r="AG30" i="7"/>
  <c r="AG31" i="7"/>
  <c r="AG32" i="7"/>
  <c r="AG33" i="7"/>
  <c r="AG34" i="7"/>
  <c r="AG36" i="7"/>
  <c r="AC29" i="7"/>
  <c r="AC30" i="7"/>
  <c r="AC31" i="7"/>
  <c r="AC32" i="7"/>
  <c r="AC33" i="7"/>
  <c r="AC34" i="7"/>
  <c r="AB28" i="7"/>
  <c r="AA23" i="7"/>
  <c r="AA25" i="7"/>
  <c r="AE22" i="7"/>
  <c r="AG26" i="7"/>
  <c r="AG27" i="7"/>
  <c r="AG24" i="7"/>
  <c r="AG25" i="7"/>
  <c r="AG23" i="7"/>
  <c r="AF22" i="7"/>
  <c r="AB22" i="7"/>
  <c r="AC26" i="7"/>
  <c r="AC27" i="7"/>
  <c r="AG18" i="7"/>
  <c r="AG20" i="7"/>
  <c r="AE15" i="7"/>
  <c r="AF15" i="7"/>
  <c r="AG16" i="7"/>
  <c r="AE17" i="7"/>
  <c r="AB17" i="7"/>
  <c r="AB15" i="7"/>
  <c r="AC16" i="7"/>
  <c r="AC15" i="7" s="1"/>
  <c r="AB18" i="9"/>
  <c r="AB20" i="9"/>
  <c r="AJ18" i="9"/>
  <c r="AJ20" i="9"/>
  <c r="H25" i="19" s="1"/>
  <c r="AG15" i="7" l="1"/>
  <c r="AM16" i="7"/>
  <c r="AB43" i="7"/>
  <c r="AG37" i="7"/>
  <c r="AE37" i="7"/>
  <c r="AG35" i="7"/>
  <c r="AG28" i="7" s="1"/>
  <c r="AM28" i="7" s="1"/>
  <c r="AC25" i="7"/>
  <c r="AG22" i="7"/>
  <c r="AJ39" i="9"/>
  <c r="AC42" i="9"/>
  <c r="AC46" i="9"/>
  <c r="AC48" i="9"/>
  <c r="AB39" i="9"/>
  <c r="H32" i="19" l="1"/>
  <c r="AM38" i="7"/>
  <c r="AG43" i="7"/>
  <c r="AM23" i="7"/>
  <c r="B114" i="16"/>
  <c r="B112" i="16"/>
  <c r="AE43" i="7"/>
  <c r="AC23" i="7"/>
  <c r="AC24" i="7"/>
  <c r="AI39" i="9"/>
  <c r="AK38" i="9"/>
  <c r="B72" i="18" s="1"/>
  <c r="A35" i="16"/>
  <c r="A30" i="16"/>
  <c r="A28" i="16"/>
  <c r="A25" i="16"/>
  <c r="B17" i="16"/>
  <c r="B16" i="16"/>
  <c r="AC35" i="9"/>
  <c r="AC34" i="9"/>
  <c r="AB33" i="9"/>
  <c r="AJ31" i="9"/>
  <c r="H29" i="19" s="1"/>
  <c r="AK32" i="9"/>
  <c r="AB31" i="9"/>
  <c r="B118" i="16" l="1"/>
  <c r="C118" i="16" s="1"/>
  <c r="F32" i="19"/>
  <c r="AC33" i="9"/>
  <c r="AI31" i="9"/>
  <c r="F29" i="19" s="1"/>
  <c r="N42" i="16"/>
  <c r="AI28" i="9"/>
  <c r="AI33" i="9"/>
  <c r="AI36" i="9"/>
  <c r="F31" i="19" s="1"/>
  <c r="AC22" i="7"/>
  <c r="C11" i="16"/>
  <c r="B11" i="16"/>
  <c r="C10" i="16"/>
  <c r="B10" i="16"/>
  <c r="AB28" i="9"/>
  <c r="AA29" i="9"/>
  <c r="AC29" i="9" s="1"/>
  <c r="AA30" i="9"/>
  <c r="AC30" i="9" s="1"/>
  <c r="A8" i="16"/>
  <c r="A7" i="16"/>
  <c r="J29" i="19" l="1"/>
  <c r="AP33" i="9"/>
  <c r="AO35" i="9" s="1"/>
  <c r="AJ35" i="9" s="1"/>
  <c r="AK35" i="9" s="1"/>
  <c r="F30" i="19"/>
  <c r="B37" i="18"/>
  <c r="B38" i="18" s="1"/>
  <c r="D30" i="19"/>
  <c r="AP28" i="9"/>
  <c r="F28" i="19"/>
  <c r="J32" i="19"/>
  <c r="AO34" i="9"/>
  <c r="AJ34" i="9" s="1"/>
  <c r="AM24" i="7"/>
  <c r="AN23" i="7"/>
  <c r="AK31" i="9"/>
  <c r="AC28" i="9"/>
  <c r="D28" i="19" s="1"/>
  <c r="AJ24" i="9"/>
  <c r="AK25" i="9"/>
  <c r="AK26" i="9"/>
  <c r="AL26" i="9" s="1"/>
  <c r="AI24" i="9"/>
  <c r="F27" i="19" s="1"/>
  <c r="AC26" i="9"/>
  <c r="AB24" i="9"/>
  <c r="AK23" i="9"/>
  <c r="AI20" i="9"/>
  <c r="F25" i="19" s="1"/>
  <c r="J25" i="19" s="1"/>
  <c r="AI18" i="9"/>
  <c r="AC19" i="9"/>
  <c r="AJ29" i="9" l="1"/>
  <c r="AJ30" i="9"/>
  <c r="AK30" i="9" s="1"/>
  <c r="L29" i="19"/>
  <c r="F24" i="19"/>
  <c r="AI50" i="9"/>
  <c r="H27" i="19"/>
  <c r="J27" i="19"/>
  <c r="G28" i="19"/>
  <c r="G30" i="19"/>
  <c r="AJ28" i="9"/>
  <c r="H28" i="19" s="1"/>
  <c r="I28" i="19" s="1"/>
  <c r="AK29" i="9"/>
  <c r="AK28" i="9" s="1"/>
  <c r="AK18" i="9"/>
  <c r="AK27" i="9"/>
  <c r="AK21" i="9"/>
  <c r="AK20" i="9" s="1"/>
  <c r="L25" i="19" s="1"/>
  <c r="AK24" i="9"/>
  <c r="B25" i="18" s="1"/>
  <c r="B26" i="18" s="1"/>
  <c r="J24" i="19" l="1"/>
  <c r="L24" i="19" s="1"/>
  <c r="F34" i="19"/>
  <c r="K28" i="19"/>
  <c r="J28" i="19"/>
  <c r="L28" i="19" s="1"/>
  <c r="AA49" i="9"/>
  <c r="AC49" i="9" s="1"/>
  <c r="F55" i="19" l="1"/>
  <c r="F51" i="19"/>
  <c r="AA41" i="7"/>
  <c r="AC41" i="7" s="1"/>
  <c r="AC37" i="7" s="1"/>
  <c r="AA36" i="7"/>
  <c r="AC36" i="7" s="1"/>
  <c r="AA43" i="9"/>
  <c r="AC43" i="9" s="1"/>
  <c r="AA47" i="9"/>
  <c r="AC47" i="9" s="1"/>
  <c r="AA41" i="9"/>
  <c r="AC41" i="9" s="1"/>
  <c r="AA45" i="9"/>
  <c r="AC45" i="9" s="1"/>
  <c r="AA40" i="9"/>
  <c r="AC40" i="9" s="1"/>
  <c r="AA27" i="9"/>
  <c r="AC27" i="9" s="1"/>
  <c r="AA25" i="9"/>
  <c r="AC25" i="9" s="1"/>
  <c r="F57" i="19" l="1"/>
  <c r="AM37" i="7"/>
  <c r="AC24" i="9"/>
  <c r="AA20" i="7"/>
  <c r="AC20" i="7" s="1"/>
  <c r="AA21" i="7"/>
  <c r="AC21" i="7" s="1"/>
  <c r="AA19" i="7"/>
  <c r="AC19" i="7" s="1"/>
  <c r="AC18" i="7"/>
  <c r="B9" i="18" l="1"/>
  <c r="B11" i="18" s="1"/>
  <c r="D27" i="19"/>
  <c r="AC17" i="7"/>
  <c r="AA31" i="9"/>
  <c r="AC31" i="9" s="1"/>
  <c r="B33" i="18" l="1"/>
  <c r="B34" i="18" s="1"/>
  <c r="D29" i="19"/>
  <c r="G27" i="19"/>
  <c r="I27" i="19"/>
  <c r="AA20" i="9"/>
  <c r="AC20" i="9" s="1"/>
  <c r="D25" i="19" s="1"/>
  <c r="K27" i="19" l="1"/>
  <c r="G25" i="19"/>
  <c r="I25" i="19"/>
  <c r="I29" i="19"/>
  <c r="G29" i="19"/>
  <c r="K29" i="19" s="1"/>
  <c r="C74" i="13"/>
  <c r="C10" i="13"/>
  <c r="C7" i="13"/>
  <c r="C35" i="13"/>
  <c r="C37" i="13"/>
  <c r="K25" i="19" l="1"/>
  <c r="U42" i="7"/>
  <c r="AA35" i="7"/>
  <c r="AC35" i="7" l="1"/>
  <c r="AC28" i="7" s="1"/>
  <c r="AC43" i="7"/>
  <c r="AA22" i="7"/>
  <c r="C36" i="13"/>
  <c r="AA33" i="9" l="1"/>
  <c r="AA24" i="9"/>
  <c r="AA22" i="9"/>
  <c r="AC22" i="9" s="1"/>
  <c r="D26" i="19" s="1"/>
  <c r="I26" i="19" l="1"/>
  <c r="G26" i="19"/>
  <c r="AA17" i="7"/>
  <c r="AA15" i="7"/>
  <c r="K26" i="19" l="1"/>
  <c r="AA37" i="7"/>
  <c r="U19" i="9" l="1"/>
  <c r="C8" i="13" l="1"/>
  <c r="AL23" i="9" l="1"/>
  <c r="C38" i="13"/>
  <c r="C34" i="13"/>
  <c r="AA44" i="9"/>
  <c r="AC44" i="9" s="1"/>
  <c r="AC39" i="9" s="1"/>
  <c r="C30" i="13"/>
  <c r="C31" i="13"/>
  <c r="C29" i="13"/>
  <c r="C28" i="13"/>
  <c r="C79" i="18" l="1"/>
  <c r="D79" i="18" s="1"/>
  <c r="D32" i="19"/>
  <c r="C32" i="13"/>
  <c r="AA39" i="9"/>
  <c r="A112" i="16" s="1"/>
  <c r="A114" i="16" s="1"/>
  <c r="AL45" i="9"/>
  <c r="I32" i="19" l="1"/>
  <c r="G32" i="19"/>
  <c r="C33" i="13"/>
  <c r="AL29" i="9"/>
  <c r="AL30" i="9"/>
  <c r="K32" i="19" l="1"/>
  <c r="AA28" i="9"/>
  <c r="AA28" i="7" l="1"/>
  <c r="AA43" i="7" s="1"/>
  <c r="U27" i="7"/>
  <c r="AA18" i="9" l="1"/>
  <c r="AC18" i="9" s="1"/>
  <c r="D24" i="19" s="1"/>
  <c r="C5" i="13"/>
  <c r="C39" i="13" s="1"/>
  <c r="AK49" i="9"/>
  <c r="AK47" i="9"/>
  <c r="AK46" i="9"/>
  <c r="AK45" i="9"/>
  <c r="AK44" i="9"/>
  <c r="AK43" i="9"/>
  <c r="AK42" i="9"/>
  <c r="AK41" i="9"/>
  <c r="AK40" i="9"/>
  <c r="AH40" i="9"/>
  <c r="I24" i="19" l="1"/>
  <c r="G24" i="19"/>
  <c r="AK39" i="9"/>
  <c r="U21" i="7"/>
  <c r="U20" i="7"/>
  <c r="U19" i="7"/>
  <c r="U18" i="7"/>
  <c r="A74" i="16"/>
  <c r="A76" i="16" s="1"/>
  <c r="A77" i="16" s="1"/>
  <c r="AA36" i="9"/>
  <c r="AA50" i="9" s="1"/>
  <c r="AC37" i="9"/>
  <c r="AB36" i="9"/>
  <c r="AB50" i="9" s="1"/>
  <c r="AA52" i="9" s="1"/>
  <c r="K24" i="19" l="1"/>
  <c r="L32" i="19"/>
  <c r="J33" i="19" s="1"/>
  <c r="AP39" i="9"/>
  <c r="C86" i="18"/>
  <c r="AC36" i="9"/>
  <c r="C67" i="18"/>
  <c r="AA53" i="9"/>
  <c r="AC50" i="9"/>
  <c r="AC52" i="9" s="1"/>
  <c r="A139" i="16"/>
  <c r="C139" i="16" s="1"/>
  <c r="AJ36" i="9"/>
  <c r="H31" i="19" s="1"/>
  <c r="J31" i="19" s="1"/>
  <c r="AK37" i="9"/>
  <c r="L31" i="19" l="1"/>
  <c r="AP36" i="9"/>
  <c r="D31" i="19"/>
  <c r="AK36" i="9"/>
  <c r="AO37" i="9" s="1"/>
  <c r="C73" i="18"/>
  <c r="AF17" i="7"/>
  <c r="AF43" i="7" s="1"/>
  <c r="AG21" i="7"/>
  <c r="AG17" i="7" s="1"/>
  <c r="I31" i="19" l="1"/>
  <c r="G31" i="19"/>
  <c r="D34" i="19"/>
  <c r="B149" i="16"/>
  <c r="AC46" i="7"/>
  <c r="AM18" i="7"/>
  <c r="AJ33" i="9"/>
  <c r="AK34" i="9"/>
  <c r="AK33" i="9" s="1"/>
  <c r="AK50" i="9" s="1"/>
  <c r="K31" i="19" l="1"/>
  <c r="H30" i="19"/>
  <c r="AJ50" i="9"/>
  <c r="E32" i="19"/>
  <c r="E26" i="19"/>
  <c r="E27" i="19"/>
  <c r="D55" i="19"/>
  <c r="E29" i="19"/>
  <c r="E25" i="19"/>
  <c r="E30" i="19"/>
  <c r="G34" i="19"/>
  <c r="G51" i="19" s="1"/>
  <c r="D51" i="19"/>
  <c r="E28" i="19"/>
  <c r="E33" i="19"/>
  <c r="E24" i="19"/>
  <c r="E31" i="19"/>
  <c r="B58" i="18"/>
  <c r="B59" i="18" s="1"/>
  <c r="B60" i="18" s="1"/>
  <c r="E34" i="19" l="1"/>
  <c r="E51" i="19" s="1"/>
  <c r="M24" i="19"/>
  <c r="G55" i="19"/>
  <c r="D57" i="19"/>
  <c r="E55" i="19" s="1"/>
  <c r="I30" i="19"/>
  <c r="K30" i="19" s="1"/>
  <c r="J30" i="19"/>
  <c r="H34" i="19"/>
  <c r="AA51" i="9"/>
  <c r="C83" i="18"/>
  <c r="D83" i="18" s="1"/>
  <c r="H55" i="19" l="1"/>
  <c r="H51" i="19"/>
  <c r="I34" i="19"/>
  <c r="E56" i="19"/>
  <c r="D66" i="19" s="1"/>
  <c r="D60" i="19"/>
  <c r="G57" i="19"/>
  <c r="F58" i="19"/>
  <c r="L30" i="19"/>
  <c r="J34" i="19"/>
  <c r="B66" i="19"/>
  <c r="E57" i="19" l="1"/>
  <c r="G58" i="19" s="1"/>
  <c r="J37" i="19"/>
  <c r="J51" i="19"/>
  <c r="K34" i="19"/>
  <c r="K51" i="19" s="1"/>
  <c r="H57" i="19"/>
  <c r="J55" i="19"/>
  <c r="J57" i="19" s="1"/>
  <c r="J58" i="19" s="1"/>
  <c r="I55" i="19"/>
  <c r="K55" i="19" s="1"/>
  <c r="H58" i="19" l="1"/>
  <c r="I58"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Ronald Alexander Rodríguez Mena</author>
  </authors>
  <commentList>
    <comment ref="AB19" authorId="0" shapeId="0" xr:uid="{4B8524AA-6BF8-4D82-B57C-D32D1EF8F983}">
      <text>
        <r>
          <rPr>
            <b/>
            <sz val="9"/>
            <color indexed="81"/>
            <rFont val="Tahoma"/>
            <family val="2"/>
          </rPr>
          <t>User:</t>
        </r>
        <r>
          <rPr>
            <sz val="9"/>
            <color indexed="81"/>
            <rFont val="Tahoma"/>
            <family val="2"/>
          </rPr>
          <t xml:space="preserve">
se modifico por medio de I mod presupuestaria</t>
        </r>
      </text>
    </comment>
    <comment ref="AB21" authorId="0" shapeId="0" xr:uid="{6835739B-75C5-4D46-8513-27B163D3796B}">
      <text>
        <r>
          <rPr>
            <b/>
            <sz val="9"/>
            <color indexed="81"/>
            <rFont val="Tahoma"/>
            <family val="2"/>
          </rPr>
          <t>User:</t>
        </r>
        <r>
          <rPr>
            <sz val="9"/>
            <color indexed="81"/>
            <rFont val="Tahoma"/>
            <family val="2"/>
          </rPr>
          <t xml:space="preserve">
se modifico por medio de I mod presupuestaria</t>
        </r>
      </text>
    </comment>
    <comment ref="AB27" authorId="0" shapeId="0" xr:uid="{B566BE0C-E8C3-4270-A0DF-ACF5CF4E7AC1}">
      <text>
        <r>
          <rPr>
            <b/>
            <sz val="9"/>
            <color indexed="81"/>
            <rFont val="Tahoma"/>
            <family val="2"/>
          </rPr>
          <t>User:</t>
        </r>
        <r>
          <rPr>
            <sz val="9"/>
            <color indexed="81"/>
            <rFont val="Tahoma"/>
            <family val="2"/>
          </rPr>
          <t xml:space="preserve">
Se umneta 31,000,000 en servicios profesionales y disminuye 3,000,000 en servicios Diversos I mod </t>
        </r>
      </text>
    </comment>
    <comment ref="AB34" authorId="0" shapeId="0" xr:uid="{045912BF-31DF-4CBC-AC52-18FBFEF80087}">
      <text>
        <r>
          <rPr>
            <b/>
            <sz val="9"/>
            <color indexed="81"/>
            <rFont val="Tahoma"/>
            <family val="2"/>
          </rPr>
          <t>User:</t>
        </r>
        <r>
          <rPr>
            <sz val="9"/>
            <color indexed="81"/>
            <rFont val="Tahoma"/>
            <family val="2"/>
          </rPr>
          <t xml:space="preserve">
Se incluyeron 9,500,000 para reforzar partida de Viajes y Transferencias corrientes, además se reforzo la partidad de ser. Profesionales en el tema Legal
</t>
        </r>
      </text>
    </comment>
    <comment ref="AA37" authorId="1" shapeId="0" xr:uid="{BD5E5B82-94D5-409B-84F5-A9F81EC03B55}">
      <text>
        <r>
          <rPr>
            <b/>
            <sz val="9"/>
            <color indexed="81"/>
            <rFont val="Tahoma"/>
            <family val="2"/>
          </rPr>
          <t>Ronald Alexander Rodríguez Mena:</t>
        </r>
        <r>
          <rPr>
            <sz val="9"/>
            <color indexed="81"/>
            <rFont val="Tahoma"/>
            <family val="2"/>
          </rPr>
          <t xml:space="preserve">
Se rebajo 9.985.865.38, de la iimprobación de la prohibición al funcionario Gerardo Alvarado.                      Se aumenta el monto de 25.773.161.33   , en el rubro de fondos sin asignación  presupuestaria debido a la improbación de prohibición a 3 funcionarios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Ronald Rodriguez Mena</author>
    <author>User</author>
  </authors>
  <commentList>
    <comment ref="AB25" authorId="0" shapeId="0" xr:uid="{4D36B400-A4FA-438B-B1BB-896B4671919A}">
      <text>
        <r>
          <rPr>
            <b/>
            <sz val="9"/>
            <color indexed="81"/>
            <rFont val="Tahoma"/>
            <family val="2"/>
          </rPr>
          <t>Ronald Rodriguez Mena:</t>
        </r>
        <r>
          <rPr>
            <sz val="9"/>
            <color indexed="81"/>
            <rFont val="Tahoma"/>
            <family val="2"/>
          </rPr>
          <t xml:space="preserve">
Se aumentan 39.500.000 em¿n servicios profesionales
</t>
        </r>
      </text>
    </comment>
    <comment ref="AB35" authorId="1" shapeId="0" xr:uid="{8C9663D8-4D65-4D67-96AA-661D26F1626C}">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<sst xmlns="http://schemas.openxmlformats.org/spreadsheetml/2006/main" count="1981" uniqueCount="617">
  <si>
    <t xml:space="preserve"> </t>
  </si>
  <si>
    <t>MATRIZ DE ARTICULACION PLAN PRESUPUESTO 2020</t>
  </si>
  <si>
    <t>Nombre de la Institución: Instituto de Fomento y Asesoria Municipal</t>
  </si>
  <si>
    <t>Nombre del Jerarca de la Institución : Marcela Guerrero Campos</t>
  </si>
  <si>
    <t>Sector: Ordenamiento Territorial y Asentamientos Humanos</t>
  </si>
  <si>
    <t>Ministro(a) Rector(a)  Irene Campos Gómez</t>
  </si>
  <si>
    <t>OBJETIVO NACIONAL: Generar un crecimiento económico inclusivo en el ámbito nacional y regional en armonía con el ambiente , generando empleos de calidad , reduciendo la pobreza y la desigualdad</t>
  </si>
  <si>
    <t>PLAN NACIONAL DE DESARROLLO E INVERSION PUBLICA 2019-2022 (PNDIP) -PLAN ESTRATÉGICO INSTITUCIONAL 2015-2020</t>
  </si>
  <si>
    <t>PROGRAMACIÓN ESTRATÉGICA PRESUPUESTARIA</t>
  </si>
  <si>
    <t>ODS VINCULADO</t>
  </si>
  <si>
    <t xml:space="preserve">AREA ESTRATEGICA </t>
  </si>
  <si>
    <t xml:space="preserve">OBJETIVO DEL AREA </t>
  </si>
  <si>
    <t xml:space="preserve">
INTERVENCION ESTRATEGICA</t>
  </si>
  <si>
    <t>OBJETIVO INTERVENCION ESTRATEGICA</t>
  </si>
  <si>
    <t>INDICADOR DE LA INTERVENCION ESTRATEGICA</t>
  </si>
  <si>
    <t>LINEA BASE DEL INDICADOR (Regional cuando proceda)</t>
  </si>
  <si>
    <t>META DEL PERIODO (regional cuando proceda)</t>
  </si>
  <si>
    <t>COBERTURA GEOGRAFICA POR REGION</t>
  </si>
  <si>
    <t>EJE ESTRATÉGICO</t>
  </si>
  <si>
    <t>OBJETIVO ESTRATÉGICO INSTITUCIONAL (PEI)</t>
  </si>
  <si>
    <t>CODIGO Y NOMBRE DEL  PROGRAMA O SUBPROGRAMA PRESUPUESTARIO</t>
  </si>
  <si>
    <t>PRODUCTO FINAL (BIENES/
SERVICIOS)</t>
  </si>
  <si>
    <t>UNIDAD DE MEDIDA DEL PRODUCTO</t>
  </si>
  <si>
    <t>POBLACIÓN META</t>
  </si>
  <si>
    <t>INDICADORES DE PRODUCTO FINAL</t>
  </si>
  <si>
    <t xml:space="preserve">LÍNEA BASE
</t>
  </si>
  <si>
    <t xml:space="preserve">METAS DEL INDICADOR </t>
  </si>
  <si>
    <t>ESTIMACIÓN ANUAL DE RECURSOS PRESUPUESTARIOS  (en millones de colones)</t>
  </si>
  <si>
    <t>EJECUCIÓN FÍSICA
ANUAL 2020</t>
  </si>
  <si>
    <t>EJECUCIÓN FINANCIERA ANUAL 2020</t>
  </si>
  <si>
    <t>MONTO ANUAL EJECUTADO</t>
  </si>
  <si>
    <t>SUPUESTOS, NOTAS TÉCNICAS Y OBSERVACIONES</t>
  </si>
  <si>
    <t>DESCRIPCIÓN</t>
  </si>
  <si>
    <t>CANTIDAD</t>
  </si>
  <si>
    <t>USUARIO (A)</t>
  </si>
  <si>
    <t>HOMBRES</t>
  </si>
  <si>
    <t>MUJERES</t>
  </si>
  <si>
    <t>MONTO</t>
  </si>
  <si>
    <t>MONTO (Rebajo y/o aumento modificaciones)</t>
  </si>
  <si>
    <t>TOTAL PROGRAMADO PARA EL PERIODO</t>
  </si>
  <si>
    <t>RESPONSABLE</t>
  </si>
  <si>
    <t>FUENTE DE FINANCIAMIENTO</t>
  </si>
  <si>
    <t xml:space="preserve">1 Semestre </t>
  </si>
  <si>
    <t xml:space="preserve">2 Semestre </t>
  </si>
  <si>
    <t>MONTO TOTAL Ejecutado I Semestre</t>
  </si>
  <si>
    <t>MONTO TOTAL Ejecutado II Semestre</t>
  </si>
  <si>
    <r>
      <t xml:space="preserve">ANUAL
</t>
    </r>
    <r>
      <rPr>
        <b/>
        <sz val="8"/>
        <color theme="9" tint="-0.499984740745262"/>
        <rFont val="Arial"/>
        <family val="2"/>
      </rPr>
      <t>(2020)</t>
    </r>
  </si>
  <si>
    <t>I SEMESTRE</t>
  </si>
  <si>
    <t>II SEMESTRE</t>
  </si>
  <si>
    <t>DESEMPEÑO PROYECTADO</t>
  </si>
  <si>
    <t>FF</t>
  </si>
  <si>
    <t>JUNTA DIRECTIVA</t>
  </si>
  <si>
    <t>Objetivo 1: Poner fin a la pobreza en todas sus formas y el Objetivo 11: Lograr que las ciudades y los asentamientos humanos sean inclusivos, seguros, resilientes y sostenibles.</t>
  </si>
  <si>
    <t xml:space="preserve">Desarrollo Territorial </t>
  </si>
  <si>
    <t>Articular, coordinar y dar seguimiento a proyectos que generen crecimiento inclusivo y fuentes de empleo, con base en las particularidades de cada territorio</t>
  </si>
  <si>
    <t>5. Programa de financiamiento de proyectos de desarrollo local y generación de competencias municipales.</t>
  </si>
  <si>
    <t>Gestionar el desarrollo local, a partir de la ejecución de proyectos que mejoren la calidad de vida de la población y el ambiente.</t>
  </si>
  <si>
    <t>Cantidad de nuevos proyectos financiados en ejecución</t>
  </si>
  <si>
    <t>2017: 19 proyectos financiados en ejecución</t>
  </si>
  <si>
    <t>2019-2022
40 proyectos                                                                                       2020                    10 Proyectos</t>
  </si>
  <si>
    <t>Nacional</t>
  </si>
  <si>
    <t>Prestación de servicios de calidad oportuna</t>
  </si>
  <si>
    <t>Satisfacer a las Municipalidades  con los servicios.</t>
  </si>
  <si>
    <t>1.01.Junta Directiva</t>
  </si>
  <si>
    <t>Acuerdos aprobados por la Junta Directiva</t>
  </si>
  <si>
    <t>Cantidad de acuerdos aprobados por Junta Directiva redactados y comunicados</t>
  </si>
  <si>
    <t>internos y externos</t>
  </si>
  <si>
    <t>ND</t>
  </si>
  <si>
    <t xml:space="preserve">Porcentaje de acuerdos tramitados </t>
  </si>
  <si>
    <t>Marcela Guerrero Campos</t>
  </si>
  <si>
    <t>Recursos Propios</t>
  </si>
  <si>
    <t>Recursos propios</t>
  </si>
  <si>
    <t>AUDITORIA INTERNA</t>
  </si>
  <si>
    <t>Tener una  imagen positiva en la ciudadanía</t>
  </si>
  <si>
    <t>1.02. Auditoria Interna</t>
  </si>
  <si>
    <t xml:space="preserve"> Ejecución de los productos y servicios generados de la Auditoría Interna </t>
  </si>
  <si>
    <t xml:space="preserve">Productos y servicios generados  por la Auditoría Interna,:                                                 1. Elaboración de estudios de auditoría en total 8.                                                                    2. Autorización de Libros, sujeto a solicitud de las Unidades, se estiman 6.                                                                 3. Asesorías, se estiman una cantidad de 10.                                                             4. Advertencias, aproximadamente 2.                                                                         5. Rendición de cuentas, aproximadamente.6.                                 6.  En total se estiman 32 actividades. </t>
  </si>
  <si>
    <t>Cantidad de productos y servicios entregados</t>
  </si>
  <si>
    <t>CONTRALORIA DE SERVICIOS</t>
  </si>
  <si>
    <t xml:space="preserve">Ser percibido por  las Municipalidades como un socio estratégico </t>
  </si>
  <si>
    <t>1.03. Contraloria de Servicios</t>
  </si>
  <si>
    <t>Productos y servicios generados  por  la Contraloria de Servicios</t>
  </si>
  <si>
    <t xml:space="preserve">Productos y servicios generados:                         1.Atención de inconformidades.                            2.Estudio de servicios sustantivos brindados por IFAM.                                                          3.Puesta en marcha de aplicación informática para contraloria de servicios municipales.                                                      </t>
  </si>
  <si>
    <t>Internos y Externos</t>
  </si>
  <si>
    <t>Porcentaje de productos y servicios entregados</t>
  </si>
  <si>
    <t>Esta meta , no se ha ejecutado debido a que no se cuenta con el profesional en esa area</t>
  </si>
  <si>
    <t>PRESIDENCIA EJECUTIVA</t>
  </si>
  <si>
    <t>1.04. Presidencia Ejecutiva</t>
  </si>
  <si>
    <t>Plan de Comunicación Institucional</t>
  </si>
  <si>
    <t>Realizar la contratación del  plan  que incluirá la estrategia institucional de comunicación para el periodo correspondiente.                                       Incluye comunicados de prensa, publicidad, gestión de medios y relaciones públicas.                                               Incluye  Estrategia de Comunicación Política y renovación de imagen institucional, buscando mejorar los beneficios para el sector municipal</t>
  </si>
  <si>
    <t>Externos</t>
  </si>
  <si>
    <t>Porcentaje de cumplimiento de ejecución del Plan de comunicación según los términos y los alcances de la contratación .</t>
  </si>
  <si>
    <t xml:space="preserve"> Esta meta ya esta ejecutiada, se modifico el objetivo para realizar el rediseño de marca de la institución.</t>
  </si>
  <si>
    <t>Ventanilla Única  Región Huetar Caribe (Acuerdo JD-128-19/ acuerdo 6, articulo 11. SO N°19- 12/06/2019</t>
  </si>
  <si>
    <t>Lograr la implementación de la ventanilla Única de la Región Huetar Caribe con el fin de mejorar las condiciones de comptetividad buscando un desarrollo economico territorial  de la región.</t>
  </si>
  <si>
    <t>Porcentaje de avance en la implementación de la ventanilla única  Región Huetar Caribe, según lo programado</t>
  </si>
  <si>
    <t>Ejecución de los productos y servicios generados por la Presidencia Ejecutiva</t>
  </si>
  <si>
    <t>Productos y servicios entregados por parte de la Presidencia ejecutiva:                                                     1) Agenda estratégica                                                         2) Alianzas estratégicas                                                       3) Recomendaciones y disposiciones cumplidas                                                             4)Coordinación con los diferentes sectores para el mejoramiento municipal                                                           5) Normativa para fortalecer el régimen municipal</t>
  </si>
  <si>
    <t>Internos y externos</t>
  </si>
  <si>
    <t>ASESORIA JURIDICA</t>
  </si>
  <si>
    <t>Sostenibilidad financiera</t>
  </si>
  <si>
    <t xml:space="preserve">Gestionar  los recursos  de leyes que se encuentran vigentes  </t>
  </si>
  <si>
    <t>1.05.Asesoría Jurídica</t>
  </si>
  <si>
    <t>Atender en tiempo y forma los  requerimientos propios de la Aseroría  Jurídica en materia  tributaria</t>
  </si>
  <si>
    <t>Porcentaje  de los requerimientos recibidos o solicitados,  en materia  tributaria</t>
  </si>
  <si>
    <t>Marcia Baltodano  Bolaños</t>
  </si>
  <si>
    <t xml:space="preserve"> Ejecutar oportunamente el presupuesto </t>
  </si>
  <si>
    <t>Atención del 100% de los requerimientos legales y judiciales en donde el IFAM sea requerido</t>
  </si>
  <si>
    <t>Atención de requerimientos solicitados por la administración,  la Junta Directiva del IFAM o despachos judiciales.</t>
  </si>
  <si>
    <t>Porcentaje de los requerimientos recibidos o solicitados, por la administración,  laJunta Directiva del IFAM o despachos judiciales.</t>
  </si>
  <si>
    <t xml:space="preserve">     En este momento la Asesoría Jurídica del Instituto, se encuentra atendiendo requerimientos municipales, como consultas tanto verbales como escritas. Así como consultas puntuales realizada por la Dirección de Gestión de Fortalecimiento Municipal relacionado con créditos y gestiones municipales. También, entre otras labores la Asesoría Jurídica ha capacitado a las autoridades municipales. Esto sin dejar de lado el quehacer conforme las competencias de la dependencia, tales como consultas institucionales de todos los departamentos y unidades, Atención de consultas realizadas por la Junta Directiva del Instituto, Presidencia Ejecutiva y Dirección Ejecutiva. Atención de procesos judiciales en materia laboral, contencioso administrativo, tránsito, constitucional, tributario. contratación administrativa, consultas de proyectos de ley remitidos por la Asamblea Legislativa, entre otros. Se ha ejecutado el (75)%del plan de trabajo  realizando 
•	Se emitieron 16 +20+5= 41 criterios sobre leyes y decretos que afectan el Régimen Municipal.                                                                                 
 •            Se emitieron 2+9=11 criterios a solicitud de la Presidencia Ejecutiva. 
•             Se emitieron 6+13=19 criterios a solicitud de la Dirección Ejecutiva.  
•	Se emitieron 2 criterios para Junta Directiva.  
•	Se asistió a sesiones virtuales de Junta Directiva 1+2= 3 ocasiones. 
•             Se emitieron 3+10=13+3=16 en total criterios a solicitud de las Jefaturas y Unidades Administrativas internas.
•             Se atendieron 79+15=94en total procesos judiciales en materia laboral. 
•             Se atienden 13 trámites tanto sin oficio como con oficio, de forma inmediata en el correo en total consultas por escrito a las municipalidades. 
•             Se atienden 20+40+2= 62 en total consultas municipales telefónicas 
•             Se emitieron 01+5=6 resoluciones administrativas                                                                          
•	Se integran 4 comisiones institucionales e interinstitucionales                                                      
•	Se integran órganos  Directores de Procedimiento Administrativo:  04                                                                                                                                
Resulta importante indicar que se han atendido consultas verbales y por correo internas de funcionarios de diferentes dependencias.
Capacitación virtual a las municipalidades XI programa para las autoridades municipales</t>
  </si>
  <si>
    <t>PLANIFICACIÓN INSTITUCIONAL</t>
  </si>
  <si>
    <t>Aportar al mejoramiento Municipal</t>
  </si>
  <si>
    <t>1.06. Planificación Institucional</t>
  </si>
  <si>
    <t>Ejecución de los productos y servicios generados por la Unidad de planificación institucional .</t>
  </si>
  <si>
    <t>Productos entregados por parte de la Unidad de Planificación institucional:                                     1)Elaboración de presupuesto           2)Evaluación del POI                          3)Seguimiento PEI 2015-2020                              4) Control interno y SEVRI  .                            5) Indice de gestión institucional y elaboración de procedimientos de la UPI</t>
  </si>
  <si>
    <t xml:space="preserve">% de ejecución de productos y servicios  de la Unidad de de Planificación Institucional </t>
  </si>
  <si>
    <t>Nereyda Azofeifa Rivas</t>
  </si>
  <si>
    <t>DIRECCIÓN EJECUTIVA</t>
  </si>
  <si>
    <t>Ejecutar oportunamente el presupuesto</t>
  </si>
  <si>
    <t>1.07. Dirección Ejecutiva</t>
  </si>
  <si>
    <t>Informe de ejecución del POI- presupuesto</t>
  </si>
  <si>
    <t>Elaborar informe de seguimiento oportuno del cumplimiento del POI, del Plan de Compras y de la ejecución presupuesataria mensual; se procurará alcanzar una mejor ejecución del presupuesto anual</t>
  </si>
  <si>
    <t>Interno</t>
  </si>
  <si>
    <t>Presupuesto ejecutado/ presupuesto aprobado.</t>
  </si>
  <si>
    <t>Mike Osejo Villegas</t>
  </si>
  <si>
    <t xml:space="preserve">Cumplir con las disposiciones de los diferentes órganos  reguladores </t>
  </si>
  <si>
    <t>Informes de cumplimiento de acuerdos  y recomendaciones.</t>
  </si>
  <si>
    <t>Los informes de cumplimiento de las recomendaciones de la Auditoría Interna, de los Acuerdos de Junta Directiva, o de otros entes, como la CGR.</t>
  </si>
  <si>
    <t>NA</t>
  </si>
  <si>
    <t xml:space="preserve"> Número de recomendaciones implementadas/ número de  recomendaciones giradas por los órganos reguladores.</t>
  </si>
  <si>
    <t>Durante el periodo, se han atendido los siguientes informes de auditoría:
oficio N° JD-AI-0176-2020, conteniendo Informe N° 07-2020.
oficio JD-AI-0177-2020, conteniendo los resultados del estudio N° 09-2020 (Informe del FODEAP).
oficio JD-AI-178-2020 sobre remisión del informe 10-2020 (Sobre Caja y Bancos).
oficio  DFOE-DL-IF-00010-2020</t>
  </si>
  <si>
    <t>DEPARTAMENTO HACENDARIO</t>
  </si>
  <si>
    <t>1.08.Departamento Hacendario</t>
  </si>
  <si>
    <t xml:space="preserve">Ejecución de los productos y servicios generados por del Departamento Hacendario con supervisión al cumplimiento </t>
  </si>
  <si>
    <t>Productos y servicios generados por el deparatamento hacendario :                                                      1. Gestión Tributaria                                               2. Fiscalización Tributaria                                      3. Recaudación Tributaria.                         4.Informes Presupuestarios(12 al año)    5.Liquidaciones Presupuestarias.               
6.Informes trimestrales de ejecución      7.Elaboración de documentos presupuestarios.                                    8.Programación y realización de inversiones.                                             9.Gestión proia de la tesoreria(Pagos, caja chica, depositos bancarios, Viaticos, entre  otros)</t>
  </si>
  <si>
    <t>N/A</t>
  </si>
  <si>
    <t>% de ejecucón de productos y servicios del Departamento Hacendario  con supervición al cumplimiento</t>
  </si>
  <si>
    <t>Adrián Salazar Vega</t>
  </si>
  <si>
    <t xml:space="preserve">Ejecutar los recursos reservados para atender desembolsos </t>
  </si>
  <si>
    <t xml:space="preserve">Desembolsos de recursos según la legislación vigente </t>
  </si>
  <si>
    <t>Realizar el 100% de los desembolsos programados tanto por transferencias de capital y transferencias corrientes a los beneficiarios que establecen la ley.</t>
  </si>
  <si>
    <t>Porcentaje de desembolso de recursos destinados para transferencias</t>
  </si>
  <si>
    <t>DEPARTAMENTO ADMINISTRATIVO</t>
  </si>
  <si>
    <t>1.09.Departamento Administrativo</t>
  </si>
  <si>
    <t>Cumplimiento de la ley  7202 del Sistema Nacional de Archivos y su Reglamento. Así como los lineamientos, resoluciones y directrices emitidos por la DGAN, como ente rector por partes de la Unidades administrativas del IFAM:</t>
  </si>
  <si>
    <t>Dar seguimiento al cumplimiento de la Normativa referente a la Ley 7202 y su reglamento en todas las Unidades administrativas</t>
  </si>
  <si>
    <t xml:space="preserve">Personal IFAM </t>
  </si>
  <si>
    <t xml:space="preserve">Cantidad de unidades administrativas que cumplen con la normativa </t>
  </si>
  <si>
    <t>Ludy Arce Alpízar</t>
  </si>
  <si>
    <t>Contar con personal de alto desempeño</t>
  </si>
  <si>
    <t>Programa de atención médica implementado.</t>
  </si>
  <si>
    <t>El programa de atención médica consta de 4 actividades ponderadas según se indica: consulta médica ( 30%), campañas de salud ( 30% ), servicios de salud (10% ), y chequeos médicos preventivos(30%). El total de consultas se estima en 1100 casos atendidos en el año, 7 campañas de salud en el año, 1 servicio de salud continuo en el año, 82 funcionarios con su chequeo médico anual completo y expediente actualizado al finalizar el año.</t>
  </si>
  <si>
    <t>Usuarios Internos 118</t>
  </si>
  <si>
    <t>% de programa de atención médica realizado.</t>
  </si>
  <si>
    <t>Leonel Abrego Campos</t>
  </si>
  <si>
    <t>Ejecución de los productos y servicios generados por el Departamento Administrativo con supervisión al cumplimiento</t>
  </si>
  <si>
    <t xml:space="preserve">Ejecución de los productos y servicios generados por el Departamento Administrativo.  1.Archivo de gestión.                                          2. Contraciones y adquisiciones.                            3.Mantenimiento de activos.                                    4. Administración de contratos de servicios generales.                                                          5.Servicio Médico                                                       6. Salud Ocupacional.                                                  7. Administración y gestión del Recurso Humano.                                                             8.Dotación de recursos básicos.                  </t>
  </si>
  <si>
    <t>Personal del Departamento Administrativo  y sus  Unidades</t>
  </si>
  <si>
    <t>% de ejecucón de productos y servicios del Departamento Administrativo  con supervición al cumplimiento</t>
  </si>
  <si>
    <t>Ejecución de los productos y servicios generados por la Unidad de Servicios Generales durante el año 2020</t>
  </si>
  <si>
    <t>Servicios de mantenimiento gestionados,                                      1.contratos de servicios administrados, 2.atención de giras y transportes,                   3.dotación de servicios básicos y seguros,                                          4.mantenimientos de vehículos y edificio realizados</t>
  </si>
  <si>
    <t>Personal de IFAM y población meta</t>
  </si>
  <si>
    <t>% de servicios administrados, mantenimientos, transportes , dotación de servicios básicos y seguros, giras realizadas satisfactoriamente</t>
  </si>
  <si>
    <t>Carolina Saborío Segura</t>
  </si>
  <si>
    <t>Plan de adquisicón de vehiculos institucionales para el cumplimiento de la Directriz 033-MINAE-MOPT</t>
  </si>
  <si>
    <t>Adquisición de tres vehículos, (2 hibridos y 1 eléctrico) de acuerdo al Plan de Adquisición de vehículos. El costo promedio por vehículo hibrido es de 26 millones y para el vehículo electrico 28 millones.</t>
  </si>
  <si>
    <t>Número de vehículos adquiridos</t>
  </si>
  <si>
    <r>
      <t xml:space="preserve">.   </t>
    </r>
    <r>
      <rPr>
        <b/>
        <sz val="9"/>
        <color rgb="FFFF0000"/>
        <rFont val="Arial"/>
        <family val="2"/>
      </rPr>
      <t>Se tramitan 18 procesos monitorios dinerarios, todos en tramite actualmente. . se tramitaron 02 procesos de Pago de Ejecutoria de Sentencia.</t>
    </r>
  </si>
  <si>
    <t>Plan de compras de Bienes y servicios adquiridos conforme las necesidades de contratación realizadas por cada dependencia.</t>
  </si>
  <si>
    <t xml:space="preserve">Asegurar la gestión eficaz y eficiente de los procesos de adquisición y contratación de los bienes y servicios que requiere la Institución para el cumplimiento de sus objetivos y metas.  </t>
  </si>
  <si>
    <t>A diciembre del 2020 el 100% de las contrataciones requeridas debidamente tramitadas.</t>
  </si>
  <si>
    <t>Inés Vázquez Sánchez</t>
  </si>
  <si>
    <t xml:space="preserve">De la partida 01.10 "Adquisición de bienes" 9.950.000 que corresponden a los materiales que se custodian en bodega,  de la partida 01.09 "Departamento Administrativo" por un concepto 11.000.000 
1.	PRIMER TRIMESTRE 2020
1.1.	La publicación Plan Anual de Compras de la Institución se realizó en la página del SICOP EL 27-01-2020.  El reporte de ejecución del Plan Anual de Compras se remite mensualmente a las dependencias del IFAM.  
1.2.	En el Primer trimestre de 2020, entre otras cosas, se realizó lo siguiente:
1.2.1.	13 procesos de contratación directos y 2 licitaciones Abreviadas. 
1.2.2.	Se tramitaron 24 términos de referencia de contrataciones directas y 8 de licitaciones abreviadas 
1.2.3.	Se tramitaron 6 actas de la Comisión de Contratación Administrativa
1.2.4.	Se atendió 1 recurso de revocatoria
1.2.5.	Se confeccionaron 27 contratos por SICOP y 6 órdenes de compra de procesos realizados antes de 2018 por medios físicos.
1.2.6.	Se finiquitaron 15 procesos por medio del SICOP
1.2.7.	Se tramitó el pago de 61 facturas incluyendo los 3 pagos por el uso del SICOP
1.2.8.	Se atendieron las consultas de personas externas e internas y todas relacionadas con el área de la Contratación Administrativa.   No se cuenta con un sistema de control de consultas diarias y llevar este control en forma manual es imposible por la gran cantidad de consultas que se reciben diariamente
1.2.9.	Se realizaron 4 publicaciones en el diario oficial la Gaceta
1.2.10.	Se entregaron 189 artículos de la Bodega de suministros que custodia la UAC
1.2.11.	Se plaquearon y registraron 10 activos
1.2.12.	En los meses de febrero y marzo se remitió el informe de la programación de compras de compras 2020 a la Dirección Ejecutiva y las demás dependencias del IFAM.
2.	SEGUNDO TRIMESTRE 2020
2.1.	En el Segundo trimestre de 2020, entre otras cosas, se realizó lo siguiente:
2.1.1.	Mensualmente se remitió el reporte de ejecución del programa de compras 2020 a la Dirección Ejecutiva y las demás dependencias del IFAM.
2.1.2.	11 procesos de contratación directos, 1 licitación abreviada y una licitación pública. 
2.1.3.	Se tramitaron 20 términos de referencia de contrataciones directas, 8 licitación abreviada
2.1.4.	Se tramitaron 13 actas de la Comisión de Contratación Administrativa
2.1.5.	Se atendió 1 recurso de objeción al cartel del proceso 2020LA-000004-0017700001
2.1.6.	Se confeccionaron 32 contratos por SICOP.
2.1.7.	Se finiquitaron 32 procesos por medio del SICOP
2.1.8.	Se tramitó el pago de 47 facturas incluyendo los 3 pagos por el uso del SICOP
2.1.9.	Se atendieron las consultas de personas externas e internas y todas relacionadas con el área de la Contratación Administrativa.   No se cuenta con un sistema de control de consultas diarias y llevar este control en forma manual es imposible por la gran cantidad de consultas que se reciben diariamente
2.1.10.	Se realizaron 4 publicaciones en el diario oficial la Gaceta
2.1.11.	Se entregaron 40 artículos de la Bodega de suministros que custodia la UAC
2.1.12.	Se realizó la compra anual de artículos de bodega conforme la programación realizada
</t>
  </si>
  <si>
    <t>Generación de competencias en el recurso humano</t>
  </si>
  <si>
    <t xml:space="preserve"> Evaluación del Desempeño aplicada</t>
  </si>
  <si>
    <t>Alcanzar el 100%  de las evaluaciones semestrales del desempeño de los funcionarios nombrados y que cumplan lo establecido para tales efectos.</t>
  </si>
  <si>
    <t>%   de las evaluaciones semestrales del desempeño alcanzadas según lo programado</t>
  </si>
  <si>
    <t xml:space="preserve">Está aún pendiente de aplicar la evaluación del desempeño del perído 2019 y 2020, a todo el personal, es decir el 100% de los funcionarios.  Para la aplicación de la evaluación del desempeño de periodos anteriores, se revisó una herramienta propiedad del ICE, mediante oficio PE-0411-2020 de fecha 16 de setiembre del 2020, la DE solicitó a la Gerencia General del ICE la debida autorización para uso de la herramienta, a la fecha la DE está a la espera de una respuesta de parte del ICE y posteriormente girar las instrucciones pertinente al DA y la UTH. </t>
  </si>
  <si>
    <t>Tener un buen ambiente laboral</t>
  </si>
  <si>
    <t>Ejecución de los productos y servicios generados por la Unidad de Talento Humano</t>
  </si>
  <si>
    <t>Productos entregados por parte de Talento Humano:                                                              1) Reclutamiento y selección.                                           2)Desarrollo Profesional.                                                   3) Estudios de reconocimientos y homologaciones.                                                   4) Certificaciones y constancias                                         5) Vacaciones                                                                       6) Planillas</t>
  </si>
  <si>
    <t>Interno y externo</t>
  </si>
  <si>
    <t>Porcentaje de productos entregados en tiempo y forma</t>
  </si>
  <si>
    <t xml:space="preserve">Plan de Capacitación Institucional </t>
  </si>
  <si>
    <t>Ejecutar el plan de capacitación del Personal de IFAM de acuerdo al resultado de la oferta programática institucional y al estudio de necesidades de capacitación .</t>
  </si>
  <si>
    <t>% de ejecución del Plan de Capacitación</t>
  </si>
  <si>
    <t>2019-2022
40 proyectos                                                                                       2020                    10 Proyec</t>
  </si>
  <si>
    <t>Programa de Salud Ocupacional implementado</t>
  </si>
  <si>
    <t xml:space="preserve">1.Analisis de riesgos ocupacionales.                                             2. Reuniones de la comisión de Salud ocupacional. 12 sesiones.                                                  3. Trabajo con brigada. 4 sesiones.                         4. Celebración de la semana de salud ocupacional.,                                                5.Equipamiento de seguridad.                          6. Equipo de protección personal.    7.Capacitaciones al personal (2 actividades)  </t>
  </si>
  <si>
    <t>usuarios internos</t>
  </si>
  <si>
    <t>% de implementación del programa de Salud Ocupacional</t>
  </si>
  <si>
    <t>Compra Equipo de protección personal, suministros para el botiquin, compra y alquiler  materiales y equipos que se requieran para la semana de Salud Ocupacional y capacitación (C.S.O), el seguimiento al 31 de marzo del año 2020 se destaca que, en el mes de febrero se inició con las capacitaciones de las brigadas de emergencia institucionales con el Benemérito Cuerpo de Bomberos de C.R, se dieron a cabalidad los cursos de Control Principios de Incendio, Planes de Emergencia y Evacuación, Soporte Cardiaco Básico RCP y el curso de Primeros Auxilios Trauma a los grupos #1 y #2, sin embargo, se suspendió el curso de Primeros Auxilios Trauma para el grupo #3 por la emergencia nacional por COVID-19, respecto al equipo de proteccion personal para el personal de la UGSTF, ya no se va a adquirir este año, debido a la prioridad que implica adquirir los suministros y equipos de protección para la pandemia por COVID-19, es por esta razón que, el dinero presupuestado en la partida de útiles y materiales de resguardo y seguridad, se va a utilizar para la compra de caretas, mascarillas, termometros, entre otros equipos necesarios para poner en práctica el protocolo de medidas sanitarias del IFAM en torno al COVID-19, asi mismo, cabe destacar que,  actualmente, se utilizó dinero de esa partida (2.99.06 Utiles y materiales de resguardo y seguridad) para la compra de caretas, mascarillas y demás equipos, necesarios de emergencia para los funcionarios que estan trabajando frecuentemente en la institución, esto como cumplimiento del Protocolo institucional ante el COVID-19, por otro lado, la celebración de la semana de la salud ocupacional debe trasladarse hasta que pase la emergencia por COVID-19 ya que implica actividades recreativas entre los funcionarios del IFAM, y actualmente por la pandemia esta prohibido realizar conglomeraciones de personas. Actualmente (octubre 2020), respecto a la contratación de Servicios Profesionales para las capacitaciones de las Brigadas de Emergencia Institucionales las 4 capacitaciones (Conttol Principios de Incendio, Primeros Auxilios, Planes de Emergencia y Evacuación y Soporte Cardiaco Básico RCP) ya fueron recibidas por los 25 brigadistas del IFAM, por lo que, ya se esta realizando el proceso de recepción provisional y definitiva de la contratación por SICOP para posteriormente proceder con la gestión de pago correspondiente. Por otro lado, respecto a la contratación de "Compra de suministros para la implementación del Protocolo de medidas sanitarias COVID-19" ya todos los equipos de protección personal (caretas, mascarillas, termómetros y demás insumos) fueorn entregados al IFAM, por lo que ya se ha iniciado el proceso de brindar el equipo de protección a varios funcionarios que lo han solicitado, y respecto a la contratación se encuentra en la etapa final de gestión de pago a los proveedores. Respecto al "Protocolo para la reactivación y continuidad de las funciones del IFAM en torno a la pandemia Nacional por COVID-19" este ya fue realizado, aprobado y divulgado a todo el personal de IFAM, ya se encuentra en ejecución todas las medidas sanitarias estipuladas en dicho protocolo. Por lo que, la Comisión de COVID-19 del IFAM actualmente esta atendiendo y registrando los casos posibles, sospechosos y positivos de COVID-19. Además de mantener una activa comunicación con FONAFIFO sobre estos casos, ya que habitamos un mismo edificio.</t>
  </si>
  <si>
    <t>TOTAL PROGRAMA I</t>
  </si>
  <si>
    <t xml:space="preserve">Nombre de la Institución: INSTITUTO DE FOMENTO Y ASESORÍA MUNICIPAL </t>
  </si>
  <si>
    <t>Nombre del Jerarca de la Institución Marcela Guerrero Campos</t>
  </si>
  <si>
    <t>Sector: Vivienda y Asentamientos Humanos</t>
  </si>
  <si>
    <t>Ministro(a) Rector(a): Irene Campos Gómez</t>
  </si>
  <si>
    <t>PLAN NACIONAL DE DESARROLLO E INVERSION PUBLICA 2019-2022 (PNDIP)</t>
  </si>
  <si>
    <t xml:space="preserve">INDICADORES DE PRODUCTO FINAL
</t>
  </si>
  <si>
    <t>LÍNEA BASE</t>
  </si>
  <si>
    <t>EJECUCIÓN FÍSICA</t>
  </si>
  <si>
    <t>ESTIMACIÓN ANUAL DE RECURSOS PRESUPUESTARIOS    (en millones de colones)</t>
  </si>
  <si>
    <t>ANUAL 2020</t>
  </si>
  <si>
    <t>DEPARTAMENTO DE GESTIÓN Y FORTALECIMIENTO MUNICIPAL</t>
  </si>
  <si>
    <t>Prestación de Servicios de calidad y Oprotunos</t>
  </si>
  <si>
    <t>Brindar servicios integrados a las municipalidades</t>
  </si>
  <si>
    <t>Programa: 02-01 Gestión y Fortalecimiento Municipal</t>
  </si>
  <si>
    <t>Ejecución de los productos y servicios generados por el Departamento de Gestión y fortalecimiento Municipal con supervisión al cumplimiento</t>
  </si>
  <si>
    <t xml:space="preserve">Productos de Asistencia Técnica, Financiamiento, Investigaciónes,  oferta programática, sistematización de buenas prácticas, servicio de consulta y asesoramiento jurídico  y Capacitación entregados.                        </t>
  </si>
  <si>
    <t>Régimen Municipal</t>
  </si>
  <si>
    <t xml:space="preserve">Porcentaje de cumplimiento del POI del DGFM           </t>
  </si>
  <si>
    <t>Heidy Montero Dent</t>
  </si>
  <si>
    <t>Fondos propios</t>
  </si>
  <si>
    <t xml:space="preserve">II EXTRAORD    Oficio DGFM-0388-2020 del 05 de junio de 2020 Suscrito por la señora Heidy Montero Dent, Jefa del Departamento de Gestión y Fortalecimiento Municipal, donde solicita rebajar las siguientes subpartidas:
➢ 02.01.1.03.03 “Impresión, encuadernación y otros”, disminuye en -₡100.000.00
➢ 02.01.1.05.01 “Transporte dentro del país”, disminuye en -₡50.000.00.
➢ 02.01.1.05.02 “Viáticos dentro del país”, disminuye en -₡1.000.000.00                                                      subpartidas:
➢ 02.01.2.02.03 “Alimentos y bebidas”, disminuye en -₡100.000.00
Al 30/09/2020
En esta sección corresponde principalmente a la partida de remuneraciones, entre julio y agosto ingresaron los encargados de Unidades condición que aplica a la ejecución presupuestaria e incide en ésta ya que se han ido cubrinendo las plazas a setiembre 2020 de 3 plazas faltantes, 3 están cubiertas, más las de los promotores y otras que han demorado todo el año para su concresión.
Se adjnta un oficio en el cual se le solicita a la Unidad de Talento Humano liberar los recursos que consabido es no estarían contratados para el primer semestre sino posteriormente de julio en adelante tanto la de los encargados, profesional especialista, profesional del DGFM, referencia que encontrará en los oficios adjuntos
28 de mayo de 2020  DGFM-0361-2020
05 de junio de 2020  DGFM-0388-2020
18 de agosto de 2020  DGFM-0658-2020
Documento excel adjunto con estimaciones y partidas liberadas enviado el 14-7-2020 a la Dirección ejecutiva
 Debido al COVID-19 se redujeron otras partidas dejando solamente de la 02.01.1.05.01 250 000,00 para una eventual gira de campo
</t>
  </si>
  <si>
    <t xml:space="preserve">https://ifamcr.sharepoint.com/sites/POI2020HMDDGFM/Documentos%20compartidos/Forms/AllItems.aspx?newTargetListUrl=%2Fsites%2FPOI2020HMDDGFM%2FDocumentos%20compartidos&amp;viewpath=%2Fsites%2FPOI2020HMDDGFM%2FDocumentos%20compartidos%2FForms%2FAllItems%2Easpx&amp;viewid=fd862453%2Dfaa3%2D4849%2Db663%2Dd5c7520233b1
</t>
  </si>
  <si>
    <t>UNIDAD DE INNOVACIÓN Y DESARROLLO</t>
  </si>
  <si>
    <t>Programa: 02-02 Unidad de Innovación y Desarrollo</t>
  </si>
  <si>
    <t>Documentos conteniendo  investigaciones.</t>
  </si>
  <si>
    <t>A diciembre del 2020 se han concluido y validado cuatro (4) investigaciones sobre temas de interés institucional y para el fortalecimiento del régimen municipal.
1. Manejo de Residuos: análisis de factores generadores de residuos en la Región Caribe.
2. Cantones Inteligentes (Infraestructura tecnológica) a nivel nacional.
3. Diseño y Planificación Urbana Participativa (IFAM-MIVAH).                                       4.Estado y necesidades del Sector Municipal en temas de Desarrollo Económico Local</t>
  </si>
  <si>
    <t>Cantidad de investigaciones sobre temas de interés institucional y para el fortalecimiento del régimen municipal.</t>
  </si>
  <si>
    <t xml:space="preserve">Mauricio Méndez Trejos </t>
  </si>
  <si>
    <t>Ingresos propios institucionales</t>
  </si>
  <si>
    <t xml:space="preserve">Por órdenes de la Dirección Ejecutiva, a principios del mes de enero de 2020 se me solicitó dedicarme al 100%; junto con el personal de la Unidad de Innovación y Desarrollo, a coordinar todas las actividades relacionadas con el XI Programa de Capacitaciones a las Nuevas Autoridades Municipales 2020 (PROCANAM 2020). Por tal razón, la Dirección Ejecutiva manifestó que el POI 2020 de la Unidad de Innovación y Desarrollo quedaba temporalmente suspendido. 
No obstante, a lo anterior, se continuaron las gestiones con la Contraloría General de la República y el MIVAV para contratar en forma directa los servicios profesionales (SSPP) para el desarrollo del proyecto denominado “Plataforma para la Innovación Tecnológica y Planificación Urbana Participativa”. Sin embargo, el pasado 07 de abril de 2020, la CGR deniega la solicitud, según consta el oficio DCA-1251 (Oficio ref. 05144), por lo que ahora, se debe replantear el proyecto y construir los TDR´s para sacar a concurso dicha contratación de los SSPP.
Por su parte, dado que durante el I trimestre se dedicó a la atención del XI PROCANAM 2020 y el cambio en las condiciones para hacer trabajo de campo originadas por el COVID-19, se tuvo que replantear la cantidad de investigaciones a realizar durante el 2020. Por lo anterior, se excluirá del POI-UID-2020 la investigación “Manejo de Residuos: análisis de factores generadores de residuos en la Región Caribe”. Las restantes tres investigaciones, se están posponiendo para el II Semestre de 2020. Actualmente, Michael Sánchez ha estado trabajando en los TDR´s para la contratación de los SSPP para la investigación “Cantones Inteligentes (Infraestructura tecnológica) a nivel nacional.”
La dirección del XI Programa por parte de la UID llegó al 30 de abril de 2020.  Posterior a esta fecha queda como recargo de la Jefatura del DGFM ya que tampoco hay jefatura en la UCF.  La conducción delegada del XI Programa lo asume la Profesional Especialista.  
Las investigaciones por instrucción general producto de las condiciones financieras institucionales y capacidad instalada, se mantiene la contratación iniciada relacionada con el.
3. Diseño y Planificación Urbana Participativa (IFAM-MIVAH). Por un monto de 55 millones de los cuales solamente se estima alcanzará a ejecutar 15 millones en el 2020, lo demás se libera.        
En los meses de julio, agosto y setiembre se ha trabajado en la depuración de los TDR para la contaración para la investigación de la Plataforma Urbana Participativa, se esta a la espera de redefinir si se va a trabajar en 3 o 5 cantones, la decisión la deben de tomar el viceministro del MIVAH y la PE de IFAM.
En cuanto al tema de Desarrollo Económico Local, se trabajó en la elaboración de la "Guía Paso a Paso para facilitar la transición de los Gobiernos Locales de Costa Rica hacia un Economía Circular" , se ha dado seguimiento al proyecto de Economia Circular, se han revisado los avances del diagnóstico del cantón de Turrialba y de la Guia, asi mismo se ha asistido a todas las reuniones de la comisión interinstitucional. Se gestionó la participación en un curso sobre Economia Circular  con EKLAS que dará inicio en octubre. 
Mediante Oficio DGFM-UID-0117-2020 y de acuerdo con la necesidad para proceder con el Presupuesto Extraordinario, se autoriza disponer de la suma de ₡16.500.000.00 del saldo disponible en la cuenta 02.02.1.04.03, Servicios de Gestión y Apoyo de la Unidad de Innovación y Desarrollo. 
Adicionalmente con el oficio DGFM-UID-0128-2020 se traslada la suma de ₡5.000.000.00 de la cuenta 02.02.1.04.03, Servicios de Gestión y Apoyo a la cuenta 02.02.1.04.99 otrosservicios de gestión y apoyo con fecha de 23 de setiembre, para cumplir con compromiso institucional para la premiaciones de los cantonces ganadores del concurso de Ciudades Emprendedoras del 2018, se esta en proceso de actualización de estudio de mercado para iniciar el proceso de contaración por medio de SICOP
DGFM-UID-0067-2020 oficio en el cual se describe el estado de situación del la UID y se hace un replantemiento de los alcances y abordaje de las investigaciones programadas en el POI 2020. 
DGFM-UID-0069-2020 se solicita una modificación presupuestaria para liberar los recursos destinados para las metas #1, #2, #3 con fecha de 20 de julio, indicando que se va a trabajar en el desarrollo de las metas según las posibilidades humanas y materiales de la UID.
</t>
  </si>
  <si>
    <t>Documentos conteniendo las buenas prácticas municipales nacionales y internacionales.4 documentos</t>
  </si>
  <si>
    <t>A diciembre de 2020 se han identificado, sistematizado y validado cuatro (4) buenas prácticas en gestión municipal  a nivel Nacional o internacional.</t>
  </si>
  <si>
    <t xml:space="preserve">Cantidad de buenas prácticas municipales </t>
  </si>
  <si>
    <t xml:space="preserve">Avance 0. En este momento se están identificando buenas prácticas, y al igual que la justificación anterior, se están posponiendo para el II semestre de 2020.
Al 30 de junio de 2020
La Unidad queda sin Encargado ya que solicitó un permiso temporal por 2 años, Tanto la Unidad y el XI Programa pasan a partir de mayo como recargo a la jefatura que ingresa el 01-05-2020
En Marzo sobreviene la emergencia nacional por COVID-19 y en los meses sucesivos se dan requerimientos de recursos para cubrir reducción de ingresos y aplazamiento de alivio financiero institucional.  Los ajustes mantienen los compromisos como el del MIVAH de 55.000.000,00, pero todos aquellos recursos de procesos de contratación que no han iniciado se instruye la liberación, como es el caso de las 3 investigaciones:  Residuos, Desarrollo Económico,
El encargado de la UID valido la Guia para la Sistematización de Buenas Prácticas Municipales, remitida por el equipo de la UID, se esta en proceso de realizar un taller con promotores municipales para identificar BPM, y posterior sistematización  </t>
  </si>
  <si>
    <t>Documentos conteniendo la evaluación del movimiento OVOP (One Village One Product). 4 territorios</t>
  </si>
  <si>
    <t>A diciembre de 2020 se ha entregado cuatro (4) evaluaciones de los efectos del movimiento OVOP en: Dota, Zarcero, Cañas y Turrialba-Jiménez.</t>
  </si>
  <si>
    <t>Cantidad de documentos conteniendo las evaluaciones OVOP.</t>
  </si>
  <si>
    <t xml:space="preserve"> II EXTRAORDINARIO    Oficio DGFM-0388-2020 del 05 de junio de 2020 Suscrito por la señora Heidy Montero Dent, Jefa del Departamento de Gestión y Fortalecimiento Municipal, donde solicita rebajar las siguientes subpartidas   02.02.1.05.01 “Transporte dentro del país”, disminuye en -₡50.000.00
➢ 02.02.1.05.02 “Viáticos dentro del país”, disminuye en -₡486.900.00
En los meses de julio, agosto y setiembre se ha dado acompañamiento al movimiento OVOP en el proceso de incorporación de 3 nuevos cantonces (Orotina, Barva, Mora) </t>
  </si>
  <si>
    <t>Ejecución de los productos y servicios generados por la Unidad de Innovación y Desarrollo.</t>
  </si>
  <si>
    <t>A diciembre de 2020, se ha ejecutado el 100% de las actividades y el 100% del presupuesto del Plan Operativo de la Unidad de Innovación y Desarrollo.</t>
  </si>
  <si>
    <t>Porcentaje de cumplimiento del Plan Operativo de la Unidad de Innovación y Desarrollo para el 2020.</t>
  </si>
  <si>
    <t xml:space="preserve">Se ha cumplido en un 45% (de 50% del I semestre), que corresponde a la atención al cantón de Río Cuarto, el tiempo dedicado al proyecto IFAM-MIVAH, la construcción de los TDRS que están realizando Carolina Núñez Michael Sánchez, los procesos administrativos de contratación de las plazas en la UID, atención a de las capacitaciones internas Formador de Formadores y Brigadas, así como reuniones internas (presenciales y virtuales). No se incluye todo el tiempo y esfuerzo del personal de la UID para la atención del XI PROCANAM 2020; ya que no hay forma de reflejarlo actualmente en el POI-UID-2020.
Se mantiene la condición al 30-06-2020
Durante los meses de julio, agosto y setiembre se ha dado seguimiento al cantón de Rio Cuarto lo cual se ha registrado por medio de minutas, oficios y correos electrónicos. DFGM-UID-0091-2020; DGFM-UID-0105-2020; DGFM-UID-092; DGFM-UID-0104-2020; DGFM-UID-0119-2020. 
Elaboración de propuesta de la Oferta Programática Institucional para el año 2021, la cual ha requerido una serie de sesiones de trabajo con el equipo de la UID, y otras jefaturas y compañeros del departamento. DGFM-UID-0096 -2020 28 de agosto de 2020 se remite OP a la jefatura del departamento de gestión y formtalecimeinto municipal, a partir de este momento inician las sesiones de trabajo. 
Elaboración de los procedimientos de la UID 
Se trabajo en una propuesta de POI y presupuesto para la UID
Se ha trabajado en un levantamiento de información sobre endeudamiento municipal a partir del informe de la CGR: Informe de seguimiento de la Gestión Pública sobre el Endeudamiento de los Gobiernos Locales 
INFORME N.° DFOE-DL-SGP-00002-2020  29 de julio, 2020.   
Se ha brindado acompañamiento al  PROCANAM en las siguientes tareas y fechas: Ajustes metodológicos del módulo #1 a la modalidad virtual. Acompañamiento como STAFF en los cursos virtuales. 
Ajuste del contenido del Manual del Facilitador y del Participante del Módulo #2 . Elaboración y ajustes de la PPT del módulo #2. Acompañamiento como Staff y Facilitador del modulo #2 en las 4 sesiones de capacitación. Elaboración de informes y revisión de tareas de las 4 sesiones de capacitación. 
Elaboración de la prueba técnica para el puesto de profesioncal de la Unidad de Formación y Capacitación 
Organización de archivos de gestión de la UID 
Participación en el comite de NAMA residuos en el cual se elaboró la Propuesta de Costa Rica con el Objetivo de acceder a recursos para mejorar la mitigación de GEI.  
Participar en la reuniones de la comision de Economia  Social Solidaria 
Participación en la comisión interinstitucional para la instalación de Mercados Agricola Inteligentes, elaboración de mapeo del sector 
Ordenamiento y depuración de la información recopilada por los promotores sobre los contactos de las nuevas autoridades municipales con el fin de elaborar un Directorio actualizado </t>
  </si>
  <si>
    <t>UNIDAD DE SERVICIOS TÉCNICOS Y FINANCIAMIENTO</t>
  </si>
  <si>
    <t>Sostenibilidad Financira</t>
  </si>
  <si>
    <t>Brindar financiamiento de manera oportuna</t>
  </si>
  <si>
    <t>Programa: 02-03 Unidad de Gesión de Servicios Técnicos y de Financiamiento</t>
  </si>
  <si>
    <t>Plan de financiamiento 2020 PLAN NACIONAL DE DESARROLLO</t>
  </si>
  <si>
    <t xml:space="preserve">Financiamiento de al menos 10 proyectos de inversión  nuevos  en ejecución  (PNDIP 2019-2022)                               </t>
  </si>
  <si>
    <t>Externo</t>
  </si>
  <si>
    <t>1. Cantidad de financiamientos aprobados y con contrato firmado .   2.Porcentaje de Ejecución de recursos disponibles para financiamiento. (Desembolsos)</t>
  </si>
  <si>
    <t>Fondos disponibles para financiamiento</t>
  </si>
  <si>
    <t>Esta meta tiene dos indicadores; el primero de eficacia que se relaciona con la cantidad de proyectos formalizados y aprobados cada año  y el segundo indicador es de eficiencia , que se relaciona con los desembolsos de los proyectos y la ejecución de los fondos disponibles.
Lo anterior ya que existen proyectos que estan programados para más de un año calendario su ejecución.   Es importante resaltar que el indicador de eficiencia está en más de un 75% en función de la gestión municipal y el 25% a la incidencia de la fiscalización y eficiencia en la tramitación interna de los desembolsos.  El porcentaje de lo desembolsado en el primer trimestre representa un 20% de lo programado para el año y un 85% tomando como promedio simple de la  distribución trimestral 
Los financiamientos emergerán de:
1.-Disponibilidad de recursos para colocación
 2.-Del proceso de relación con usuarios Promotores municipales
3.-Del análisis del sector, diagnóstico de necesidades de asistencia técnica y financiamientos, así como las solicitudes que emitan los gobiernos locales al IFAM entre 2019 y el 2020. ( El monto proyectado para esta meta corresponde para el año 2020)
Al 30-06-2020
Hay dos situaciones particulares que se dan producto del COVID-19 Un plan de aplazamiento como medida de alivio financiero que aprueba la Junta Directiva para las Municipalidades con créditos de conformidad con el artículo 79 del Reglamento de Financiamiento relacionada con aplazamiento, esto impactará en la programación en aproximadamente 2000 millones que no se percibirán por concepto de amortización e intereses. 
La dinámica del avance y la ejecución está sujeta al avance y programación presentado por los gobiernos locales, se va cumpliendo con lo programado para el I semestre  y de antemano  el proyecto de maquinaria de la Municipalidad de Buenos Aires fue apelada la adjudicación y se encuentra en la CGR, el monto para el 2020 estimado a desembolsar es de 1300 millones que dada la apelación ese monto se pasó a la programación del 2021, por lo que el monto presupuestado inicialmente de alredededor de 4000 millones pasa al siguiente periodo  y atrasos en el proyecto de Santa Bárbara también por razones de contratación, acercan al 50% de ejecución de recursos para el I Semestre. 
Al 30-09-2020
El tema del aplazamiento es uno de los factores que ha incidido en una baja ejecución, así como los cambios de gobiernos locales, donde en su mayoría son nuevos regidores y por tanto se ha llevado de tiempo para que empiecen a ponerse al día y conozcan los proyectos y avances que llevan en los Municipios y puedan desde el Concejo ejercer una mayor presión. Se procedió con la actualización de cada proyecto con cada uno de los fiscalizadores y las Municipalidades, con el fin de determinar la posibilidad de desembolsos para el último trimestre. Se cuenta con un cronograma actualizado, el cual será el que se le dará un seguimiento semanal con los fiscalizadores y apoyo con los Promotores para que los recursos se logren desembolsar en cada uno de los proyectos activos. Se tienen proyectados desembolsar alrededor de 4.900 millones a diciembre 2020. https://ifamcr-my.sharepoint.com/:x:/g/personal/jviquez_ifam_go_cr/EbwFkxfNgqhKrjge_4n2uRYB5OFND8-K242hz3ANWCWPDg?e=4%3aYUEl2s&amp;at=9</t>
  </si>
  <si>
    <t>Proyectos de desarrollo con articulación cantonal e interinstucional abarcando ámbito económico, social, ambiental y cultural   . (ACUERDOS)  PLAN NACIONAL DE DESARROLLO Financiamiento para la generación de planes reguladores</t>
  </si>
  <si>
    <t xml:space="preserve">Financiamiento (reembolsable) de 3 planes reguladores                                     Acuerdos de Cooperación gestionados para desarrollar  3 proyectos con inversión articulada entre municipios, instituciones y cooperación internacional. </t>
  </si>
  <si>
    <t>N/D</t>
  </si>
  <si>
    <t>1. Cantidad de financiamientos aprobados y con contrato firmado 2.Porcentaje de Recursos utilizados para el financiamiento (Reembolsable) de  planes reguladores (Desembolsos)</t>
  </si>
  <si>
    <t>Fondos Propios</t>
  </si>
  <si>
    <t>Esta meta tiene dos indicadores; el primero de eficacia que se relaciona con la cantidad de proyectos formalizados y aprobados cada año  y el segundo indicador es de eficiencia , que se relaciona con los desembolsos de los proyectos y la ejecución de los fondos disponibles. Lo anterior ya que existen proyectos que estan programados para más de un año calendario su ejecución.                                                                       Los financiamientos emergerán del análisis del sector , diagnóstico de necesidades de asistencia técnica y financiamientos, así como las solicitudes que emitan los gobiernos locales al IFAM entre 2019 y el 2020. ( El monto proyectado para esta meta corresponde para el año 2020)
En planes Reguladores las acciones se han orientado principalmente a la facilitación de recurso humano especializado y trabajando en comisiones multinivel, la condición de COVID-19 ha generado un comportamiento conservador por parte de los gobiernos locales de contener el endeudamiento además de la restricción de actividades de concentración pública, varios de los procesos han estado migrando a la virtualidad.
Al 30 setiembre del 2020 se mantiene el mismo comportamiento. Se han empezado a retomar temas con algunas Muncipalidades como la de Nicoya, para el tema de Planes Reguladores, no obstante, aún no se ha aprobado el decreto para la conformación de la mesa de donde surgirán los convenios con las Municipalidades que están el proceso de planes reguladores. Están en manos de los jerarcas para su aprobación y publicación_x000D_
 Actualmente se está trabajando en la Mesa Técnico de Impulso de Planes Reguladores cuyo objetivo es es el de crear un espacio permanente de coordinación con las municipalidades para el avance del proceso de elaboración, actualización, modificación, aprobación, oficialización, y seguimiento de planes reguladores.</t>
  </si>
  <si>
    <t>Brindar servicios integrados a las Municipalidades</t>
  </si>
  <si>
    <t>Ejecución de los productos y servicios generados por la Unidad de Servicios técnicos y financiamiento</t>
  </si>
  <si>
    <t xml:space="preserve">100% de los productos de asistencia técnica y financiamiento entregados según lo programado, a saber:                                             1. Asistencias técnicas(Reembolsable y no reembolsable).                                            2.Financiamiento.                         </t>
  </si>
  <si>
    <t>Porcentaje de productos entregados</t>
  </si>
  <si>
    <t>II EXTRAORDINARIO                      
 Oficio DGFM-0388-2020 del 05 de junio de 2020 Suscrito por la señora Heidy Montero Dent, Jefa del Departamento de Gestión y Fortalecimiento Municipal, donde solicita rebajar las siguientes subpartidas:
02.03.1.04.03 “Servicios de ingeniería”, disminuye en 40 755 444,15                    
02.03.1.05.01 “Transporte dentro del país”, disminuye en -₡150.000.00
➢ 02.03.1.05.02 “Viáticos dentro del país”, disminuye en -₡5.658.305.00
Las capacitaciónes que se habían proyectado al respecto estaban con una visión para darse presencial, por causa del Covid no se ha logrado concretar ni estima concretarse en el 2020, dado los meses que faltan el cual ante un proceso de contratación no daría tiempo ejecutar._x000D_
_x000D_
Se recomoienda liberar dichos fondos.</t>
  </si>
  <si>
    <t xml:space="preserve"> Impulsar la ejecución de proyectos para el desarrollo de capacidades locales de adaptación al cambio climático. PLAN NACIONAL DE DESARROLLO . 3 proyectos fronterizos
3 tres proyectos costeros a lo largo de 4 años      </t>
  </si>
  <si>
    <t>3 proyectos fronterizos
3 tres proyectos costeros a lo largo de 4 años               
Año 2020:( apoyo en la generación de capacidades locales de adaptación al cambio climático a los 20 cantones que recibirán financiamiento del Fondo Verde del Clima para enfrentar el cambio climático: 
Región Pacífico Central: Parrita, Montes de Oro, Puntarenas
Región Huetar Atlántica: Talamanca, Siquirres, Matina, Pococí
Región Chorotega: Nicoya, La Cruz, Cañas
Región Central: Alajuelita, Acosta, Naranjo, Turrialba
Región Huetar Norte: Guatuso, Upala, Los Chiles
Región Brunca: Buenos Aires, Corredores, Osa
 </t>
  </si>
  <si>
    <t>Porcentaje de acciones de socialización y capacitación sobre el uso de los manuales ejecutadas</t>
  </si>
  <si>
    <t xml:space="preserve">Proyectos de desarrollo con articulación cantonal e interinstucional abarcando ámbito económico, social, ambiental y cultural. (CONVENIOS)  PLAN NACIONAL DE DESARROLLO      </t>
  </si>
  <si>
    <t>Convenios gestionados que ayuden a desarrollar 6 proyectos con inversión articulada entre municipios, instituciones y cooperación internacional.                            Generación de alianzas para creación de acciones conjuntas relacionadas con ambiente, cambio climático y cantones inteligentes</t>
  </si>
  <si>
    <t xml:space="preserve"> Proyectos de inversión en los territorios.         </t>
  </si>
  <si>
    <t>UNIDAD DE CAPACITACIÓN Y FORMACIÓN</t>
  </si>
  <si>
    <t>Programa: 02-04 Unidad de Capacitación y Formación</t>
  </si>
  <si>
    <t xml:space="preserve">Manuales para la elaboración de Planes Reguladores socializados con las Municipalidades PLAN NACIONAL DE DESARROLLO </t>
  </si>
  <si>
    <t>Socialización del Manual para la elaboración de Planes Reguladores Costeros en la ZMT (INVU_ICT 2017) y el Manual para Planes Reguladores como instrumentos de ordenamiento territorial (INVU 2018) a lo largo de cuatro años</t>
  </si>
  <si>
    <t>Territorios Municipales</t>
  </si>
  <si>
    <t xml:space="preserve"> Gestionar el desarrollo local, a partir de la ejecución de proyectos que mejoren la calidad de vida de la población y el ambiente.</t>
  </si>
  <si>
    <t xml:space="preserve">asistencias técnicas y financiamientos para proyectos  urbanos mediante la captura de plusvalía (aceras y acueductos)   PLAN NACIONAL DE DESARROLLO     </t>
  </si>
  <si>
    <t>Valorizar el uso del suelo mediante inversión de proyectos urbanos a lo largo de tres años.                          Se abre una linea especial de financiemto y asistencia técnica inversión pública y áreas adyacentes:
1.-Reajuste de terrenos
2.-Contribuciones especiales
3.-Cobro por Edificables  ( El monto proyectado para esta meta corresponde para el año 2020)</t>
  </si>
  <si>
    <t xml:space="preserve">Proyectos de inversión en los territorios.         </t>
  </si>
  <si>
    <r>
      <t xml:space="preserve">User:II EXTRAORD   Oficio DGFM-0388-2020 del 05 de junio de 2020 Suscrito por la señora Heidy Montero Dent, Jefa del Departamento de Gestión y Fortalecimiento Municipal, donde solicita rebajar las siguientes subpartidas
02.04.1.07.01 “Actividades de Capacitación”, disminuye en -₡20 000 000.                                        </t>
    </r>
    <r>
      <rPr>
        <b/>
        <u/>
        <sz val="12"/>
        <rFont val="Arial"/>
        <family val="2"/>
      </rPr>
      <t>SE ELIMINA LA META</t>
    </r>
  </si>
  <si>
    <t xml:space="preserve">Herramientas que capturen la plusvalía  y permita la valoración del uso del suelo                                                      PLAN NACIONAL DE DESARROLLO </t>
  </si>
  <si>
    <t xml:space="preserve">Diseño de una herramientas de valorización del uso del suelo y  captura de plusvalía de proyectos urbanos.                                         Se plantea realizar talleres por Regiones con la finalidad  con un plan a 2 años en los 14 cantones donde pasa el tren como prioritario y generar capacidades en el resto de los talleres donde se pueda aplicar los tres instrumentos diseñados:
1.-Reajuste de terrenos
2.-Contribuciones especiales
3.-Cobro por Edificables  ( El monto proyectado para esta meta corresponde para el año 2020)                               </t>
  </si>
  <si>
    <t xml:space="preserve"> herramienta de captura de plusvalía para el financiamiento de proyectos urbanos.</t>
  </si>
  <si>
    <r>
      <t xml:space="preserve">User:II EXTRAORD   Oficio DGFM-0388-2020 del 05 de junio de 2020 Suscrito por la señora Heidy Montero Dent, Jefa del Departamento de Gestión y Fortalecimiento Municipal, donde solicita rebajar las siguientes subpartidas
02.04.1.07.01 “Actividades de Capacitación”, disminuye en -₡ 5 000 000.                                        </t>
    </r>
    <r>
      <rPr>
        <b/>
        <u/>
        <sz val="12"/>
        <rFont val="Arial"/>
        <family val="2"/>
      </rPr>
      <t>SE ELIMINA LA META</t>
    </r>
  </si>
  <si>
    <t xml:space="preserve">Tener cobertura en capacitación de todo el Sector Municipal </t>
  </si>
  <si>
    <t>1.Sensibilización en temas de cambio climático brindada.                         2.Generación de material que contemple el tema de cambio climático</t>
  </si>
  <si>
    <t xml:space="preserve">Se sensibilizará sobre cambio climático a través de actividades (ya sean eventos, Congresos, charlas, materiales, entre otros) </t>
  </si>
  <si>
    <t>Ambos</t>
  </si>
  <si>
    <t>Cantidad de eventos realizados</t>
  </si>
  <si>
    <r>
      <t xml:space="preserve">User:II EXTRAORD   Oficio DGFM-0388-2020 del 05 de junio de 2020 Suscrito por la señora Heidy Montero Dent, Jefa del Departamento de Gestión y Fortalecimiento Municipal, donde solicita rebajar las siguientes subpartidas
02.04.1.07.01 “Actividades de Capacitación”, disminuye en -₡  45 000 000.                                        </t>
    </r>
    <r>
      <rPr>
        <b/>
        <u/>
        <sz val="12"/>
        <rFont val="Arial"/>
        <family val="2"/>
      </rPr>
      <t>SE ELIMINA LA META</t>
    </r>
  </si>
  <si>
    <t>Impartir capacitación municipal con eficacia</t>
  </si>
  <si>
    <t>Programa de Capacitación enfocado en Cantones Inteligentes</t>
  </si>
  <si>
    <t>En este programa se incluyen cursos sobre Design Thinking, Planeación de la Innovación Territorial, Innovación y diseño de servicios para el territorio, innovación para el desarrollo de sistemas de movilidad urbana sostenible, gestión de proyectos de innovación tecnológica entre otros</t>
  </si>
  <si>
    <t>Cantidad de cursos impartidos</t>
  </si>
  <si>
    <r>
      <t xml:space="preserve">User:II EXTRAORD   Oficio DGFM-0388-2020 del 05 de junio de 2020 Suscrito por la señora Heidy Montero Dent, Jefa del Departamento de Gestión y Fortalecimiento Municipal, donde solicita rebajar las siguientes subpartidas
02.04.1.07.01 “Actividades de Capacitación”, disminuye en -₡  40 000 000.                                        </t>
    </r>
    <r>
      <rPr>
        <b/>
        <u/>
        <sz val="12"/>
        <rFont val="Arial"/>
        <family val="2"/>
      </rPr>
      <t>SE ELIMINA LA META</t>
    </r>
  </si>
  <si>
    <t>Programa de Capacitación en gestión del cambio climático</t>
  </si>
  <si>
    <t>Programa de capacitación a funcionarios municipales enfocado en la gestión del cambio y mejora de procesos, al menos seis cursos durante el periodo 2020</t>
  </si>
  <si>
    <r>
      <t xml:space="preserve">User:II EXTRAORD   Oficio DGFM-0388-2020 del 05 de junio de 2020 Suscrito por la señora Heidy Montero Dent, Jefa del Departamento de Gestión y Fortalecimiento Municipal, donde solicita rebajar las siguientes subpartidas
02.04.1.07.01 “Actividades de Capacitación”, disminuye en -₡  30 000 000.                                        </t>
    </r>
    <r>
      <rPr>
        <b/>
        <u/>
        <sz val="12"/>
        <rFont val="Arial"/>
        <family val="2"/>
      </rPr>
      <t>SE ELIMINA LA META</t>
    </r>
  </si>
  <si>
    <t>Satisfacer las necesidades de capacitación municipal oportunamente.</t>
  </si>
  <si>
    <t>Oferta de Capacitación para el 2020</t>
  </si>
  <si>
    <t xml:space="preserve">Ejecución del 100% de la oferta de capacitación  programada en el año 2020:                                                                    1.XI Programa de capacitación a autoridades Municipales.                         2.Programa de Capacitación en gestión del cambio climático .         3.Programa de Capacitación enfocado en Cantones Inteligentes.                     4. Oferta programática.                       5. Mejoramiento de capacidades de organizaciones cantonales deportivas.
</t>
  </si>
  <si>
    <t>Porcentaje del programa de capacitación del periodo ejecutado.</t>
  </si>
  <si>
    <t>Oficio DGFM-0388-2020 del 05 de junio de 2020 Suscrito por la señora Heidy Montero Dent, Jefa del Departamento de Gestión y Fortalecimiento Municipal, donde solicita rebajar las siguientes subpartidas:
➢ 02.04.1.05.01 “Transporte dentro del país”, disminuye en -₡6.480.000.00
➢ 02.04.1.05.02 “Viáticos dentro del país”, disminuye en -₡56.080.718.47
02.04.1.07.01 “Actividades de Capacitación”, disminuye en -₡227.325.041.89
Ricardo:
1. XI Programa de Capacitación a las nuevas autoridades 2020-2024: Se llevó a cabo el Módulo 1 Tema: Marco Legal y Normativo, Del 21 al 7 marzo se realizaron 3 sesiones de dos días cada una, se cubrieron 7 sedes, bajo la modalidad presencial logrando una participación de 249 personas. Se suspendió en el mes de marzo por la emergencia Nacional del COVID19. Es importante mencionar que se debió reemplantear la metodología de presencial a virtual. Se retomó del 6 al 15 de Junio con 2 sesiónes de dos días cada una mediante la modalidad presencial, bajo todos los protocolos de salud en el cantón de Río Cuarto, donde participaron 33 personas. Posteriormente del 19 de Junio al 4 Julio se realizaron 3 sesiones de dos días cada una, se cubrieron 12 sedes bajo la modalidad virtual, logrando una participación de 188 personas. Para un total de participación en el Módulo #1 de 71 Municipalidades y 4 Concejos Municipales de Distrito.   
Módulo 2 Temas: Planificación Estratégica y Hacienda Municipal, se realizaron 4 sesiones virtuales de dos 2 días cada una, se cubrieron 19 sedes, desde el 21 de Agosto al 12 de Setiembre del 2020, logrando una participación de 69 Municipalidades y 6 Concejos Municipales de Distrito, y en total de 264 participantes. Documentos manuales del módulo 1 y 2: Manual de la persona Facilitadora, Manual de la persona Participante, Bibliotecas (información complementaria para el participante), Código Municipal, PPTs, presentación para el día del Régimen Municipal, informe según oficios DGFM-UCF-0005-2020, DGFM-UCF-0246-2020, Información suministrada a comunicación para comunicados de Prensa, informes del personal Staff.
2.Cambio Climático: la excompañera María José Vásquez Vargas era quién estaba a cargo de llevar a cabo este tema sin embargo, ella ya no pertenece al IFAM desde Febrero 2020, se cuenta con el borrador del documento denominado "Cantones Sostenibles" sin embargo este documento no cuenta con el visto bueno de Presidencia Ejecutiva para ser utilizado para elaborar capacitaciones. A consencuencia de la Pandemia del COVID19, no se ha podido retomar este punto, se proyecta desarrollar el próximo año.
3. Cantones Inteligentes: Debido a la Pandemia del COVID19 se sufrió un retraso importante en el desarrollo de las capacitaciones "Transformación Digital" y "Cantones Inteligentes e Inovadores", se encuentra en el estado de elaboración de los Terminos de Referencias bajo la modalidad virtual.
4. Oferta Programatica: La UCF participó en las reuniones para la elaboración de la Oferta Programática 2021, mismas en las que se evaluaron temas de relavancia para incluir en la oferta 2021 de Capacitación para el Régimen Municipal. Se cubrieron en su totalidad las reuniones convocadas UID.
5.Debido a la Pandemia del COVID19 y al enfoque de la UCF al XI Programa de Capacitación de la Nuevas Autoridades, este punto se estará reprogramando para desarrollarse en el año 2021.
6.Formador de Formadores ITCR: Debido a la Pandemia se suspendió el proceso de Capacitación que se estaba desarrollando en el mes de marzo, se realizaron las reuniones pertinentes para retomar el proceso de capacitación con el ITCR, se elaboró una nueva propuesta, en la cual se ajustó la metodología de bimodal a virtual. Se reinció el 29 de Setiembre 2020. Referencia: Edu-TEC-040-2020. 
7. CICAP: Debido a la Pandemia se debió realizar los cambios necesarios en los Terminos de Referencia para ajustar la metodología de bimodal a virtual. En este momento se esta en proceso de adjudicación. Se planeó abordar los temas Administración Tributaria, y Mejora y Actualización de Manuales de Puestos. Oficios PE-0418-2020, PE-0571-2019.
8. Formulación de Proyectos para Concejos de distrito del cantón de Tilarán: Se planeó y coordinó con la Municipalidad de Tilarán toda la actividad, y se elaboró la logística para ser ejecutada de manera virtual el 1 de Octubre 2020. Oficios SCM-293-2020 y DGFM-UCF-0236-2020.   
9. Taller de Empoderamiento  Autoridades Municipales Mujeres Provincia de Guanacaste: Se planeó y coordinó con la Vicealcaldesa de la Municipalidad de Carrillo. Se diseño el programa de capacitación en coordinación con la secretería técnica de la PIEG-INAMU. Se van a abordar los temas: Normativa, Empoderamiento, Gestión Administrativa y Gestión de Pryectos, y se programó inciar el 16 de Octubre 2020. Oficios DGFM-UCF-0288-2020, DGFM-UGSTF-1157-2020.</t>
  </si>
  <si>
    <t>Evaluación del 11vo. Programa de Capacitación a nuevas autoridades</t>
  </si>
  <si>
    <t xml:space="preserve">Productos entregados por parte de la Unidad de Capacitación y formación:          1) Cantones amigos de la infancia.                              2) Concejo Nacional de niñez  y adolescencia.                     3) Bandera azul ecológica          4) Campaña concientización frente a voto 2020. </t>
  </si>
  <si>
    <t>Ejecutar y entregar el 100% de los productos programados para el año 2020</t>
  </si>
  <si>
    <t xml:space="preserve">Porcentaje de Productos ejecutados y entregados </t>
  </si>
  <si>
    <t>Fortalecimiento del Eje Estratégico Institucional de Seguridad Humana,, temas de comunicaciones
Ricardo:
1) Cantones Amigos de la Infancia: Se realizó una evaluación de Cantones Amigos de la Infancia Fase 1. Se elaboró una página Web para dar a conocer la inciativa asi como facilitar una herramienta de acompañamiento permanente, a los gobiernos locales que formen parte de CAI1 y CAI2. Se solicitó a UNICEF el documento denominado "Conocimientos y herramientas para la gestión local de los derechos de las niñas, niños y adolescentes", referente a la conceptualización del programa de capacitación para las municipalidades, mismo que se encuentra diseñado para ser implementado mediante capacitación presencial, por ende se esta en el proceso de readecuar el mismo para sea implementado mediante capacitación virtual, dada a la situación actual del COVID 19 es necesario pasar a esta modalidad para poder implementarla. Se tuvieron sesiones de trabajo con las 32 muncipalidades certificadas CAI. Se cuenta con las convocatorias a las muncipalidades, minutas respectivas.
2) Concejo Nacional de Niñez y Adolescencia: Se mantiene la participación activa en las sesiones del Consejo Nacional de Niñez y Adolescencia con el fin de darle seguimiento a las inciativas, políticas, y planes en materia de niñez y adolescencia. Se cuentan con las minutas respectivas.              
3) Bandera Azul Ecológica: Se participa activamente con el Comité Técnico Bandera Azul Categoría Municipalidades, integrado por AYA, IFAM, DIGECA/MINAE, UNGL. Se realizaron 3 Capacitaciones denominadas: Generalidades y ajustes a los parametros por COVID19, Parametros de Adaptación, y Aspectos Básicos del Programa Bandera Azul Categoría Municipalidades. Dirigida a las 52 Municipalidades inscritas en el Programa Bandera Azul Ecológica para obtener el galardón 2020.            
4) Campaña concientización frente a voto 2020. Tomando en cuenta que las elecciones fueron el pasado mes de Febrero y aunado a que el personal de la UCF se encontraba enfocado en la ejecución del XI Programa de Ejecución a las Nuevas Autoridades Municipales, mismo que arrancó en el mes de Febrero del Módulo Legal y Normativo. Este tema fue abordada a nivel institucional desde Comunicación y Presidencia Ejecutiva.</t>
  </si>
  <si>
    <t>UNIDAD DE TECNOLOGÍAS DE LA INFORMACIÓN</t>
  </si>
  <si>
    <t>Uso de tecnologia de información en la prestación de servicios</t>
  </si>
  <si>
    <t>02.05. TECNOLOGÍAS DE INFORMACIÓN</t>
  </si>
  <si>
    <t>Plataforma informática para egresos municipales</t>
  </si>
  <si>
    <t>La plataforma ha desarrollar  es complementaria al sistema de ingresos municipales</t>
  </si>
  <si>
    <t>Porcentaje de avance en el desarrollo de la plataforma</t>
  </si>
  <si>
    <t>Alberto Aguero</t>
  </si>
  <si>
    <t>Plataforma informática para sistemas de información geográfica</t>
  </si>
  <si>
    <t>Sistema con enfoque de inteligencia de negocios que le permita a las municipalidades poder contar con una visión georeferenciada de su territorio (cobertura en cantones que no dispongan de la herramienta)</t>
  </si>
  <si>
    <t>Porcentaje de avance en el desarrollo del sistema</t>
  </si>
  <si>
    <t>Plataforma informática de automatización de procesos municipales y gestion de trámites en línea</t>
  </si>
  <si>
    <t>Plataforma gestión de trámites municipales  es complementaria al sistema de ingresos y egresos municipales</t>
  </si>
  <si>
    <t>Alberto aguero</t>
  </si>
  <si>
    <t>Productos entregados por parte de la Unidad de Tecnologías de la Información  :                                       1.	Traslado de Data Center 2.	Renovación de plataforma de sistemas de información  3.	Renovación, actualización y mantenimiento de Página Web Institucional 4.	Automatización del Proceso de Asistencia Técnica    5.	Fortalecimiento de servidores institucionales</t>
  </si>
  <si>
    <t>Ejecutar  el 100% de los productos programados para el año 2020 referente a la mejoras de equipos y sistemas de  tecnologías de la información.</t>
  </si>
  <si>
    <t>Añberto Aguero</t>
  </si>
  <si>
    <t>Elaborar y poner en ejecución un Nuevo sistema de Tributos municipales WEB. SIMWEB</t>
  </si>
  <si>
    <t>Concluir el nuevo sistema de tributos WEB SIM WEB</t>
  </si>
  <si>
    <t>sistema de Tributos municipales WEB. SIMWEB concluido</t>
  </si>
  <si>
    <t>TOTAL PROGRAMA II</t>
  </si>
  <si>
    <t>DISPONIBLE</t>
  </si>
  <si>
    <t xml:space="preserve">FICHA TECNICA DEL INDICADOR </t>
  </si>
  <si>
    <t>NOMBRE DE LA INSTITUCIÓN:</t>
  </si>
  <si>
    <t>INSTITUTO DE FOMENTO Y ASESORIA MUNICIPAL (IFAM)</t>
  </si>
  <si>
    <t xml:space="preserve">NOMBRE DEL JERARCA DE LA INSTITUCIÓN: </t>
  </si>
  <si>
    <t>Msc. MARCELA GUERRERO CAMPOS</t>
  </si>
  <si>
    <t>SECTOR:</t>
  </si>
  <si>
    <t>VIVIENDA Y ASENTAMIENTOS HUMANOS</t>
  </si>
  <si>
    <t>MINISTRO(A) RECTOR(A):</t>
  </si>
  <si>
    <t>Msc. IRENE CAMPOS BRENES</t>
  </si>
  <si>
    <t>Ficha técnica del indicador (UGSTF-Meta 1)</t>
  </si>
  <si>
    <t xml:space="preserve">Nombre del indicador: </t>
  </si>
  <si>
    <t>Elemento</t>
  </si>
  <si>
    <t>Descripción</t>
  </si>
  <si>
    <t>Nombre del indicador</t>
  </si>
  <si>
    <t>Definición conceptual</t>
  </si>
  <si>
    <t xml:space="preserve">Financiamiento de al menos 10 proyectos de inversión  nuevos  en ejecución que contribuyan al mejoramiento del Régimewn municipal  (PNDIP 2019-2022)     </t>
  </si>
  <si>
    <t xml:space="preserve">Fórmula de cálculo </t>
  </si>
  <si>
    <t>(Cantidad actividades ejecutadas POI-UID-2020 / Cantidad actividades programadas POI-UID-2020) x 100</t>
  </si>
  <si>
    <t>Componentes involucrados en la fórmula del cálculo</t>
  </si>
  <si>
    <t xml:space="preserve">Cantidad de créditos formalizados y Cantidad de recursos desembolsados </t>
  </si>
  <si>
    <t>Unidad de medida</t>
  </si>
  <si>
    <t>1. Cantidad de proyectos financiados                                                                                                  2. Porcentaje de recursos de sembolsados</t>
  </si>
  <si>
    <t>Interpretación</t>
  </si>
  <si>
    <t>En el período de evaluación se formalizaron "n" cantidad de financiamientos.                                                                                                                  En el período de evaluación se desembolsaron "n" cantidad de fondos</t>
  </si>
  <si>
    <t>Desagregación</t>
  </si>
  <si>
    <t>Geográfica</t>
  </si>
  <si>
    <t>Temática</t>
  </si>
  <si>
    <t>Los proyectos se desarrollan en las particularidades y necesidades de cada territorio</t>
  </si>
  <si>
    <t>Línea base</t>
  </si>
  <si>
    <t>10 proyectos/  80% de los desembolsos</t>
  </si>
  <si>
    <t>Meta</t>
  </si>
  <si>
    <t>1.) 10 proyexctos aprobados y cn contrato                                                                                        2) 100% de cumplimiento.de desembolsos</t>
  </si>
  <si>
    <t xml:space="preserve">Periodicidad </t>
  </si>
  <si>
    <t>Anual</t>
  </si>
  <si>
    <t>Fuente de información</t>
  </si>
  <si>
    <t>Tabla de desembolsos                                                                                                       Financiamientos aprobados y con convenio                                                              Desembolsos y transferencias</t>
  </si>
  <si>
    <t>Clasificación</t>
  </si>
  <si>
    <t>( X) Impacto.</t>
  </si>
  <si>
    <t>( ) Efecto.</t>
  </si>
  <si>
    <t>(x) Producto.</t>
  </si>
  <si>
    <t>Tipo de operación estadística</t>
  </si>
  <si>
    <t>Porcentaje de Financiamientos                                                                                                       Cantidad de recursos desembolsados</t>
  </si>
  <si>
    <t>Comentarios generales</t>
  </si>
  <si>
    <t xml:space="preserve">Esta meta tiene dos indicadores; el primero de eficacia que se relaciona con la cantidad de proyectos formalizados y aprobados cada año  y el segundo indicador es de eficiencia , que se relaciona con los desembolsos de los proyectos y la ejecución de los fondos disponibles. Lo anterior ya que existen proyectos que estan programados para más de un año calendario su ejecución.       </t>
  </si>
  <si>
    <t>Ficha técnica del indicador (UGSTF-Meta 2)</t>
  </si>
  <si>
    <t xml:space="preserve">Nombre del indicador </t>
  </si>
  <si>
    <t>Porcentaje de acciones de socialización y capacitación sobre el uso de los manuales ejecutadas.</t>
  </si>
  <si>
    <t>Se refiere a acciones tendientes a incidir en el mejoramiento de las condiciones de las municipalidades para incidir en la planificación y ordenamiento de su territorio.</t>
  </si>
  <si>
    <t>Porcentaje de acciones de socialización y capacitación sobre el uso de los manuales para la elaboración de Plan Reguladores costeros en la ZMT y ordenamiento territorial.</t>
  </si>
  <si>
    <t>Acciones de socialización y capacitación debidamente elaborados.</t>
  </si>
  <si>
    <t>Porcentaje.</t>
  </si>
  <si>
    <t>En el período de evaluación se elaboraron "n" cantidad de acciones de socialización y capacitación sobre uso de manual para la elaboración de planes de uso del territorio, con las municipalidades.</t>
  </si>
  <si>
    <t>Las acciones de socialización y capacitación se realizarán por territorio.</t>
  </si>
  <si>
    <t>50% de acciones de socialización y capacitación debidamente elaborados en el 2019.</t>
  </si>
  <si>
    <t>La información se obtiene del control que llevaría el Departamento de  Gestión y Fortalecimiento Municipal de los proyectos de investigación elaborados.</t>
  </si>
  <si>
    <t>( ) Impacto.</t>
  </si>
  <si>
    <t>( X) Efecto.</t>
  </si>
  <si>
    <t>( ) Producto.</t>
  </si>
  <si>
    <t>Porcentaje de proyectos de investigación debidamente elaborados en un período de tiempo determinado.</t>
  </si>
  <si>
    <t>La meta de este indicador se estableció con base en una proyección de presupuesto para el año 2020, al contarse con el monto real en setiembre del presupuesto ordinario, se ajustará.</t>
  </si>
  <si>
    <t>Ficha técnica del indicador (UGSTF-Meta 3)</t>
  </si>
  <si>
    <t>Porcentaje de Proyectos de inversión ejecutados, mediante la captura de plusvalía en los territorios.</t>
  </si>
  <si>
    <t>Proyectos urbanos ejecutados, mediante la captura de plusvalía.</t>
  </si>
  <si>
    <t>Porcentaje de Proyectos de inversión programados/Porcentaje de proyectos tramitados y ejecutados.</t>
  </si>
  <si>
    <t>Proyectos de inversión debidamente ejecutados.</t>
  </si>
  <si>
    <t>Porcentaje</t>
  </si>
  <si>
    <t>Se refiere a la ejecución de proyectos que dinamicen la inversión en territorios que permitan captar plusvalía.</t>
  </si>
  <si>
    <t>Los proyectos de inversión, mediante la captura de plusvalía, se desarrollarán por territorios, que tomen en cuenta distintos cantones con condiciones más homogéneas.</t>
  </si>
  <si>
    <t>25% de proyectos de inversión debidamente ejecutados en el 2019.</t>
  </si>
  <si>
    <t>La información se obtiene del control que llevaría el Departamento de  Gestión y Fortalecimiento Municipal de los proyectos de inversión ejecutados.</t>
  </si>
  <si>
    <t>(x) Impacto.</t>
  </si>
  <si>
    <t>Porcentaje de proyectos de inversión debidamente ejecutados en un período de tiempo determinado.</t>
  </si>
  <si>
    <t>La meta de este indicador se estableció con base en una proyección de presupuesto para el año 2019, al contarse con el monto real  del presupuesto ordinario en setiembre, se ajustará.</t>
  </si>
  <si>
    <t>Ficha técnica del indicador (UGSTF-Meta 4)</t>
  </si>
  <si>
    <t>Porcentaje de diseño de herramientas de captura de plusvalía para el financiamiento de proyectos urbanos.</t>
  </si>
  <si>
    <t>% de avance programado para la ejecución del Manual de herramientas de captura de plusvalía/ % de avance ejecutado x 100.</t>
  </si>
  <si>
    <t>% de los Manuales de herramienta de captura de plusvalía debidamente ejecutados.</t>
  </si>
  <si>
    <t>Valorizar el uso de suelo a través de Manual de herramientas que capturen la plusvalía generada para su reinversión.</t>
  </si>
  <si>
    <t>Los proyectos de inversión, mediante la captura de plusvalía, se identifican por ubicación urbana.</t>
  </si>
  <si>
    <t xml:space="preserve"> 50% de avance de los  disñeo de los Manuales de herramientas de captura de plusvalía debidamente ejecutados.</t>
  </si>
  <si>
    <t>La información se obtiene del control que llevaría el Departamento de  Gestión y Fortalecimiento Municipal del diseño de los Manuales de herramientas ejecutados.</t>
  </si>
  <si>
    <t>Porcentaje de diseño de Manuales  de herramientas  ejecutados para uso de las Municipalidades en un período de tiempo determinado.</t>
  </si>
  <si>
    <t>Ficha técnica del indicador (UGSTF-Meta 5)</t>
  </si>
  <si>
    <t>Porcentaje de Proyectos para el desarrollo de capacidades locales de adaptación al cambio climático ejecutados.</t>
  </si>
  <si>
    <t>Desarrollo de proyectos piloto de adaptación al cambio climático en el ámbito local.</t>
  </si>
  <si>
    <t>Porcentaje de proyectos    para el desarrollo de capacidades locales de adaptación al cambio climático,  programados/Porcentaje de proyectos     para el desarrollo de capacidades locales de adaptación al cambio climático, ejecutados x 100.</t>
  </si>
  <si>
    <t>Proyectos de investigación debidamente ejecutados.</t>
  </si>
  <si>
    <t>Se refiere a proyectos que propicien la generación de competencias municipales para que la ciudadanía, sus bienes, el ambiente, la flora y fauna de los distintos territorios se adapte mejor a los proceso de cambio climático, mediante acciones de desarrollo regenerativo.</t>
  </si>
  <si>
    <t>Los proyectos  para el desarrollo de capacidades locales de adaptación al cambio climático, son identificados por ubicación geográfica urbano y rural.</t>
  </si>
  <si>
    <t>25% de proyectos para el desarrollo de capacidades locales de adaptación al cambio climático, ejecutados en el 2019.</t>
  </si>
  <si>
    <t>La información se obtiene del control que llevaría el Departamento de  Gestión y Fortalecimiento Municipal de los proyectos para el desarrollo de capacidades locales de adaptación al cambio climático.</t>
  </si>
  <si>
    <t>Porcentaje de proyectos  para el desarrollo de capacidades locales de adaptación al cambio climático, ejecutados en un período de tiempo determinado.</t>
  </si>
  <si>
    <t>La meta de este indicador se estableció con base en una proyección de presupuesto para el año 2019, al contarse con el monto real en setiembre del presupuesto ordinario, se ajustará.</t>
  </si>
  <si>
    <t>Ficha técnica del indicador (UGSTF-Meta 6)</t>
  </si>
  <si>
    <t>Porcentaje de Convenios firmados entre instituciones y Municipalidades.</t>
  </si>
  <si>
    <t>Convenios para el desarrollo de proyectos con articulación cantonal e interinstitucional abarcando ámbito económico, social, ambiental y cultural.</t>
  </si>
  <si>
    <t>Porcentaje de convenios  para desarrollo de proyectos, entre instituciones y municipalidades programados/Porcentaje de convenios  para desarrollo de proyectos, entre instituciones y municipalidades firmados x 100.</t>
  </si>
  <si>
    <t>Convenios  para desarrollo de proyectos, entre instituciones y municipalidades firmados.</t>
  </si>
  <si>
    <t>Se refiere al establecimiento de convenios que permitan el  trabajo conjunto con distintas instituciones en los ámbitos nacional, regional y local y en los temas de económicos, sociales, ambientales y culturales.</t>
  </si>
  <si>
    <t>Los convenios  para desarrollo de proyectos, entre instituciones y municipalidades son identificados por ubicación geográfica cantonal.</t>
  </si>
  <si>
    <t>25% de convenios para desarrollo de proyectos,  entre instituciones y municipalidades debidamente firmados en el 2019.</t>
  </si>
  <si>
    <t>La información se obtiene del control que llevaría el Departamento de  Gestión y Fortalecimiento Municipal de los convenios para el desarrollo de proyectos,  entre instituciones y municipalidades.</t>
  </si>
  <si>
    <t>Porcentaje de convenios para desarrollo de proyectos,  entre instituciones y municipalidades  firmados en un período de tiempo determinado.</t>
  </si>
  <si>
    <t>Ficha técnica del indicador (UGSTF-Meta 7)</t>
  </si>
  <si>
    <t>Porcentaje de acuerdos de cooperación financiera firmados entre municipalidades y organismos financieros, nacionales e internacionales.</t>
  </si>
  <si>
    <t>Acuerdos de cooperación financiera para el desarrollo de proyectos con articulación cantonal e interinstitucional abarcando ámbito económico, social, ambiental y cultural.</t>
  </si>
  <si>
    <t>Porcentaje de acuerdos de cooperación financiera  para desarrollo de proyectos, entre  municipalidades  y organismos, nacionales e internacionales programados/Porcentaje de acuerdos de cooperación financiera  para desarrollo de proyectos, entre  municipalidades  y organismos, nacionales e internacionales firmados x 100.</t>
  </si>
  <si>
    <t>Proyectos de investigación debidamente elaborados.</t>
  </si>
  <si>
    <t xml:space="preserve">Comprende el establecimiento de acuerdos con organismos que generen un más abundante cartera crediticia. </t>
  </si>
  <si>
    <t>Los acuerdos  de cooperación financiera para el desarrollo de proyectos, entre municipalidades y organismos, nacionales e internacionales son identificados por ubicación geográfica cantonal.</t>
  </si>
  <si>
    <t>25% de acuerdos de cooperación financiera para el desarrollo de proyectos, entre municipalidades y organismos, nacionales e internacionales  firmados en el 2019.</t>
  </si>
  <si>
    <t>El cálculo del indicador se tendría de forma anual.</t>
  </si>
  <si>
    <t>La información se obtiene del control que llevaría el Departamento de  Gestión y Fortalecimiento Municipal de los acuerdos para el desarrollo de proyectos,  entre  municipalidades y organismos, nacionales e internacionales.</t>
  </si>
  <si>
    <t>Porcentaje de acuerdos de cooperación financiera para el desarrollo de proyectos,  entre  municipalidades  y organismos, nacionales e internacionales elaborados en un período de tiempo determinados.</t>
  </si>
  <si>
    <t>sesori juridica</t>
  </si>
  <si>
    <t>Dirección Ejecutiva</t>
  </si>
  <si>
    <t>Código</t>
  </si>
  <si>
    <t>Presupuesto
Ordinario</t>
  </si>
  <si>
    <t>Modificaciones 
y Extraordinario.</t>
  </si>
  <si>
    <t>Total 
Presupuesto</t>
  </si>
  <si>
    <t>Ejecución 
Anterior</t>
  </si>
  <si>
    <t>Ejecución 
Mensual</t>
  </si>
  <si>
    <t>Total
Ejecución</t>
  </si>
  <si>
    <t>Compromisos</t>
  </si>
  <si>
    <t>Disponible</t>
  </si>
  <si>
    <t>%</t>
  </si>
  <si>
    <t>01.09</t>
  </si>
  <si>
    <t>ARCHIVO</t>
  </si>
  <si>
    <t>modificaciones</t>
  </si>
  <si>
    <t xml:space="preserve">276 003 579.29 </t>
  </si>
  <si>
    <t xml:space="preserve">0.00 </t>
  </si>
  <si>
    <t>Modificaciones
y Extraordin.</t>
  </si>
  <si>
    <t>TOTAL</t>
  </si>
  <si>
    <t xml:space="preserve"> 0.00</t>
  </si>
  <si>
    <t xml:space="preserve">Plan de Trabajo de la Auditoría Interna </t>
  </si>
  <si>
    <t xml:space="preserve">Ejecución de Plan de Trabajo de la Auditoría Interna, el cual comprende:                                      1)Elaboración de estudios de auditoría en total 8.                         2) Autorización de Libros, sujeto a solicitud de las Unidades, se estiman 6.                                              3) Asesorías, se estiman una cantidad de 10.                                   4) Advertencias, aproximadamente 2.                                                                         5) Rendición de cuentas, aproximadamente.6.                                 En total se estiman 32 actividades. </t>
  </si>
  <si>
    <t>Adquisición y operación de un  software de gestión interna de la Auditoría.</t>
  </si>
  <si>
    <t>Adquisición de un sistema automatizado que permita desarrollar, controlar y administrar las actividades  de la Auditoría Interna, apoyando los procesos de: identificación de riesgos, planeación, elaboración del programa de trabajo para cada estudio, generación automática del informe de auditoría, autoevaluaciones,  seguimiento de recomendaciones, entre  otros, de conformidad con la normativa emitida por la Contraloría General de la República.</t>
  </si>
  <si>
    <t>CONTRALORÍA DE SERVICIOS</t>
  </si>
  <si>
    <t>Plan de trabajo de la Contraloria de Servicios</t>
  </si>
  <si>
    <t xml:space="preserve">Un Plan de trabajo de trabajo  que gestine mejoras en el régimen municipal y atienda las inconformidades del régimen Municipal.                                        </t>
  </si>
  <si>
    <t>Realizar la contratación del  plan  que incluirá la estrategia institucional de comunicación para el periodo correspondiente.   Incluye comunicados de prensa, publicidad, gestión de medios y relaciones públicas.                                               tambien se contratará la  Estrategia de Comunicación Política y renovación de imagen institucional, buscando mejorar los beneficios para el sector municipal</t>
  </si>
  <si>
    <t>Plan de trabajo de la Presidencia ejecutiva</t>
  </si>
  <si>
    <t>Productos entregados por parte de la Presidencia ejecutiva:                                                                            1) Agenda estratégica                                                     2) Alianzas estratégicas                                                           3) Recomendaciones y disposiciones cumplidas                                                   4)Coordinación con los diferentes sectores para el mejoramiento municipal                                                           5) Normativa para fortalecer el régimen municipal</t>
  </si>
  <si>
    <t>ASESORÍA JURÍDICA</t>
  </si>
  <si>
    <t>Municipalidades asesoradas de forma adecuada en el tema jurídico.</t>
  </si>
  <si>
    <t>Atender las consultas escritas y orales de parte del sector municipal  mediante la asesoría jurídica buscando el mejoramiento del régimen</t>
  </si>
  <si>
    <t>Sistema informático (PEI -POI-Presupuesto)</t>
  </si>
  <si>
    <t>Un sistema que facilite información en línea; oportuna y confiable sobre el comportamiento financiero y físico de la gestión institucional</t>
  </si>
  <si>
    <t>Plan Estratégico Institucional 2021-2025</t>
  </si>
  <si>
    <t xml:space="preserve">Un Plan de largo plazo que  contenga estrategias de intervención que permitan satisfacer las necesidades de los gobiernos locales, que marque un norte hacia dónde enfocar los recursos institucionales y sirva de guía  para el seguimiento y evaluación de esas estrategias y a su vez,  se fortalezca  el accionar de los gobiernos locales.  </t>
  </si>
  <si>
    <t xml:space="preserve"> Plan de trabajo que permita medir los productos y que puedan ser monitoreados y evaluados a partir de los resultados</t>
  </si>
  <si>
    <t>Productos entregados por parte de la Unidad de Planificación institucional:                                            1)Elaboración de presupuesto                                        2)Evaluación del POI                                                   3)Seguimiento PEI 2015-2020                                          4) Control interno y SEVRI  .                                          5) Indice de gestión institucional y elaboración de procedimientos de la UPI</t>
  </si>
  <si>
    <t xml:space="preserve">Plan de Acción 2019 del Departamento Hacendario con supervisión al cumplimiento </t>
  </si>
  <si>
    <t>Ejecutar en un 100% el Plan Anual Operativo del deparatamento hacendario que incluye  las siguientes areas:                                                        1. Gestión Tributaria                                                  2. Fiscalización Tributaria                                            3. Recaudación Tributaria.                                     4.Informes Presupuestarios(12 al año)    5.Liquidaciones Presupuestarias.               6.Informes trimestrales de ejecución      7.Elaboración de documentos presupuestarios.                                    8.Programación y realización de inversiones.                                             9.Gestión proia de la tesoreria(Pagos, caja chica, depositos bancarios, Viaticos, entre  otros)</t>
  </si>
  <si>
    <t>El programa de atención médica consta de 4 actividades ponderadas según se indica:               1) consulta médica ( 30%),                                               2) campañas de salud ( 30% ),                                   3)servicios de salud (10% ), y chequeos médicos preventivos(30%). El total de consultas se estima en 1100 casos atendidos en el año, 7 campañas de salud en el año, 1 servicio de salud continuo en el año, 82 funcionarios con su chequeo médico anual completo y expediente actualizado al finalizar el año.</t>
  </si>
  <si>
    <t>Plan de Acción 2020 del Departamento Administrativo con supervisión al cumplimiento</t>
  </si>
  <si>
    <t xml:space="preserve"> Supervisión de los Planes de Trabajo  2020 de las 4  Unidades del Departamento Administrativo.</t>
  </si>
  <si>
    <t>Plan de trabajo de la Unidad de Servicios Generales durante el año 2020</t>
  </si>
  <si>
    <t>Servicios de mantenimiento gestionados,                                      1.contratos de servicios administrados, 2.atención de giras y transportes, 3.dotación de servicios básicos y seguros,                                          4.mantenimientos de vehículos y edificio realizados</t>
  </si>
  <si>
    <t>Planes de Clima y Cultura Organizacional elaborados</t>
  </si>
  <si>
    <t xml:space="preserve">14 Planes de Acción ejecutados producto del Estudio de Clima Organizacional 
</t>
  </si>
  <si>
    <t>Plan de trabajo de la Unidad de Talento Humano</t>
  </si>
  <si>
    <t>Productos entregados por parte de Talento Humano:                                                                             1) Reclutamiento y selección.                                                 2)Desarrollo Profesional.                                             3) Estudios de reconocimientos y homologaciones.                                                                   4) Certificaciones y constancias                                         5) Vacaciones                                                                        6) Planillas</t>
  </si>
  <si>
    <t xml:space="preserve">1)Analisis de riesgos ocupacionales.                                 2) Reuniones de la comisión de Salud ocupacional. 12 sesiones.                                          3)Trabajo con brigada. 4 sesiones.                           4)Celebración de la semana de salud ocupacional.,                                                                5)Equipamiento de seguridad.                                  6) Equipo de protección personal.                            7)Capacitaciones al personal (2 actividades)  </t>
  </si>
  <si>
    <t xml:space="preserve">TOTAL PROGRAMA I </t>
  </si>
  <si>
    <t>Plan de Acción 2020 del Departamento de Gestión y fortalecimiento Municipal con supervisión al cumplimiento</t>
  </si>
  <si>
    <t xml:space="preserve">Productos de Asistencia Técnica, Financiamiento, Investigaciónes,  oferta programatica, sistematización de buenas prácticas y Capacitación entregados.                        </t>
  </si>
  <si>
    <t>INNOVACIÓN Y DESARROLLO</t>
  </si>
  <si>
    <t>A diciembre del 2020 se han concluido y validado tres (3) investigaciones sobre temas de interés institucional y para el fortalecimiento del régimen municipal.
1. Manejo de Residuos: análisis de factores generadores de residuos en la Región Caribe.
2. Cantones Inteligentes (Infraestructura tecnológica) a nivel nacional.
3. Diseño y Planificación Urbana Participativa (IFAM-MIVAH).</t>
  </si>
  <si>
    <t>Documentos conteniendo las buenas prácticas municipales nacionales y internacionales.</t>
  </si>
  <si>
    <r>
      <t xml:space="preserve">Documentos conteniendo la evaluación del movimiento OVOP (One Village One Product).  </t>
    </r>
    <r>
      <rPr>
        <b/>
        <u/>
        <sz val="9"/>
        <rFont val="Arial"/>
        <family val="2"/>
      </rPr>
      <t>(Desarrollo Económico)</t>
    </r>
  </si>
  <si>
    <t>Plan de trabajo operativo para la Unidad de Innovación y Desarrollo, para el año 2020</t>
  </si>
  <si>
    <t>SERVICIOS TÉCNICOS Y FINANCIAMIENTO</t>
  </si>
  <si>
    <t>Plan de financiamiento 2020                  PLAN NACIONAL DE DESARROLLO</t>
  </si>
  <si>
    <t>Financiamiento para la generación de planes reguladores</t>
  </si>
  <si>
    <t>Financiamiento de 3 planes reguladores</t>
  </si>
  <si>
    <t>Plan de trabajo</t>
  </si>
  <si>
    <t xml:space="preserve">100% de los productos de asistencia técnica y financiamiento entregados según lo programado, a saber:                                                                              1. Asistencias técnicas(Reembolsable y no reembolsable).                                            2.Financiamiento.                         </t>
  </si>
  <si>
    <t xml:space="preserve"> Impulsar la ejecución de proyectos para el desarrollo de capacidades locales de adaptación al cambio climático.                                                   PLAN NACIONAL DE DESARROLLO </t>
  </si>
  <si>
    <t xml:space="preserve">Proyectos de desarrollo con articulación cantonal e interinstucional abarcando ámbito económico, social, ambiental y cultural.                   (CONVENIOS)  PLAN NACIONAL DE DESARROLLO      </t>
  </si>
  <si>
    <t>Convenios gestionados que ayuden a desarrollar 6 proyectos con inversión articulada entre municipios, instituciones y cooperación internacional.                                                   Generación de alianzas para creación de acciones conjuntas relacionadas con ambiente, cambio climático y cantones inteligentes</t>
  </si>
  <si>
    <r>
      <t xml:space="preserve">Ventanilla Única  Región Huetar Caribe (Acuerdo JD-128-19/ acuerdo 6, articulo 11. SO N°19- 12/06/2019)   </t>
    </r>
    <r>
      <rPr>
        <b/>
        <u/>
        <sz val="9"/>
        <rFont val="Arial"/>
        <family val="2"/>
      </rPr>
      <t>(Desarrollo Económico)</t>
    </r>
  </si>
  <si>
    <t xml:space="preserve">Proyectos de desarrollo con articulación cantonal e interinstucional abarcando ámbito económico, social, ambiental y cultural   . (ACUERDOS)  PLAN NACIONAL DE DESARROLLO </t>
  </si>
  <si>
    <t xml:space="preserve">Acuerdos de Cooperación gestionados para desarrollar  3 proyectos con inversión articulada entre municipios, instituciones y cooperación internacional. </t>
  </si>
  <si>
    <t>CAPACITACIÓN Y FORMACIÓN</t>
  </si>
  <si>
    <t xml:space="preserve">Diseño de una herramientas de valorización del uso del suelo y  captura de plusvalía de proyectos urbanos.                                                                        Se plantea realizar talleres por Regiones con la finalidad  con un plan a 2 años en los 14 cantones donde pasa el tren como prioritario y generar capacidades en el resto de los talleres donde se pueda aplicar los tres instrumentos diseñados:
1.-Reajuste de terrenos
2.-Contribuciones especiales
3.-Cobro por Edificables  ( El monto proyectado para esta meta corresponde para el año 2020)                               </t>
  </si>
  <si>
    <t>Ejecución del 100% de la oferta de capacitación  programada en el año 2020:                                              1)XI Programa de capacitación a autoridades Municipales.                                                                2)Programa de Capacitación en gestión del cambio climático .                                                        3)Programa de Capacitación enfocado en Cantones Inteligentes.                                              4) Oferta programática                                                5) Mejoramiento de capacidades de organizaciones cantonales deportivas.</t>
  </si>
  <si>
    <t xml:space="preserve">Productos entregados según la oferta de capacitación para el periodo.                                   Productos entregados por parte de la Unidad de Capacitación y formación:                             1) Cantones amigos de la infancia.                              2) Concejo Nacional de niñez  y adolescencia.                                       3) Bandera azul ecológica                                    4) Campaña concientización frente a voto 2020. </t>
  </si>
  <si>
    <t>TECNOLOGÍAS DE LA INFORMACIÓN</t>
  </si>
  <si>
    <t>Productos entregados por parte de la Unidad de Tecnologías de la Información  :                                       1)	Traslado de Data Center                           2)	Renovación de plataforma de sistemas de información                                        3)	Renovación, actualización y mantenimiento de Página Web Institucional    4)	Automatización del Proceso de Asistencia Técnica                                               5)	Fortalecimiento de servidores institucionales</t>
  </si>
  <si>
    <t>remu</t>
  </si>
  <si>
    <t>ser</t>
  </si>
  <si>
    <t>mat</t>
  </si>
  <si>
    <t xml:space="preserve">DAH-UF-0506-2020, DAH-UAT-0209-2020, DA-UTH-0579-2020, DA-UM-0014-2020, DE- UTI-0132-2020, DA-UGD-0049-2020, JD-C-072-20, PE-PI-0078-2020. Se está a la espera de que todos los miembros de la CGCI firmen el oficio de remisión a la DE del Informe de Riesgos al Tercer Trimestre 2020.
Producto 5. Índice de Gestión Institucional
•	Índice de Gestión Institucional 2019 fue remitido a la GCR el 14 de febrero 2020. 
•	Se elaboró el Plan de Acción remitido a la DE con PE-0034-20 el 21/05/20 y posteriormente, el 29/05/20 a las áreas para su seguimiento con PE-0037-20.  
•	Respecto a la elaboración de procedimientos se dio tiempo por parte de la DE, tenerlos levantados al 31 de julio, fecha que posteriormente se amplió al 31 de octubre. 
•	La UPI, preparó una guía que suministró mediante oficio PE-PI-0047-2020 del 18/06/2020 a la DE para su posterior remisión a todas las áreas. Con el oficio PE-PI-0048-2020 del 23/06/2020 se remitió la Guía aprobada por la DE y las plantillas para el levantamiento y estandarización de procedimientos.
•	Con el oficio PE-PI-0033-2020 del 21/05/2020 se remitió el Programa de Comunicación: Misión, Visión, Valores a la DE para su aprobación.
•	Con el oficio DE-0854-2020 del 10/06/2020 la DE aprobó el Programa de Comunicación: Misión, Visión, Valores
•	Con el oficio PE-PI-0072-2020 del 19/08/2020 se remitió informe de cumplimiento del Programa de Comunicación: Misión, Visión, Valores. (MAYO – JULIO).
•	Con el oficio PE-PI-0082-2020 del 10/09/2020 se remitió informe de cumplimiento del Programa de Comunicación: Misión, Visión, Valores. (AGOSTO).
•	Con el oficio PE-PI-0097-2020 del 02/10/2020 se remitió informe de cumplimiento del Programa de Comunicación: Misión, Visión, Valores. (SETIEMBRE).
•	Con los oficios PE-PI-0089-2020, PE-PI-0087-2020, PE-PI-0086-2020 y PE-PI-0085-2020 con fecha 21/09/2020 la unidad ha dado seguimiento al cumplimiento del Plan de Contingencia del IGI 2019.
•	Con los oficios: DE-1195-2020, DE-1193-2020, DE-1192-2020 del 21/09/2020 y el DE-1194-2020 del 22/09/2020 la DE remitió la solicitud de requerimientos a las áreas sobre el IGI  2019. 
•	El 22/09/2020 ingresó notificación de la STCGR sobre el nuevo instrumento denominado ICG que sustituye al IGI
•	El 28/09/2020 se expuso el nuevo instrumento denominado ICG a las jefaturas y encargados del IFAM. </t>
  </si>
  <si>
    <t>4 548 006 991.42</t>
  </si>
  <si>
    <t>EJECUCIÓN ACUMULADA</t>
  </si>
  <si>
    <t xml:space="preserve">Suspendido por Declaratora de Emergencia Nacional Pandemia COVID, gestiones serán reactivadas inicinado II Semestre Junio 2020.
</t>
  </si>
  <si>
    <t>Programa I Administración General</t>
  </si>
  <si>
    <t>Junta Directiva</t>
  </si>
  <si>
    <t xml:space="preserve">AUDITORÍA INTERNA </t>
  </si>
  <si>
    <t xml:space="preserve">CONTRALORÍA DE SERVICIOS </t>
  </si>
  <si>
    <t xml:space="preserve">PRESIDENCIA EJECUTIVA </t>
  </si>
  <si>
    <t xml:space="preserve">ASESORÍA JURÍDICA </t>
  </si>
  <si>
    <t xml:space="preserve">PLANIFICACIÓN INSTITUCIONAL </t>
  </si>
  <si>
    <t xml:space="preserve">DIRECCIÓN EJECUTIVA </t>
  </si>
  <si>
    <t xml:space="preserve">ADMINISTRACIÓN HACENDARIA </t>
  </si>
  <si>
    <t xml:space="preserve">DEPARTAMENTO ADMINISTRATIVO </t>
  </si>
  <si>
    <t xml:space="preserve">AQUISICIÓN DE BIENES </t>
  </si>
  <si>
    <t xml:space="preserve">INSTITUTO DE FOMENTO Y ASESORIA MUNICIPAL </t>
  </si>
  <si>
    <t xml:space="preserve">RESUMEN  PROGRAMA I  ADMINISTRACIÓN GENERAL POR ACTIVIDAD PRESUPUESTAIRA </t>
  </si>
  <si>
    <t xml:space="preserve">(EN MILLONES DE COLONES) </t>
  </si>
  <si>
    <t xml:space="preserve">CÓDIGO </t>
  </si>
  <si>
    <t xml:space="preserve">PROGRAMA Y UNIDAD PRESUPUESTARIA </t>
  </si>
  <si>
    <t>Cantidad de metas</t>
  </si>
  <si>
    <t>MONTO (en miles de millones)</t>
  </si>
  <si>
    <t xml:space="preserve">PARTICIPACIÓN RELATIVA (%) </t>
  </si>
  <si>
    <t>EJECUCIÓN I SEMESTRE</t>
  </si>
  <si>
    <t>% EJECUCIÓN</t>
  </si>
  <si>
    <t>EJECUCIÓN II SEMESTRE</t>
  </si>
  <si>
    <t>EJECUCIÖN MONTO (en miles de millones)</t>
  </si>
  <si>
    <t>PROGRAMA I ADMINISTRACIÓN GENERAL</t>
  </si>
  <si>
    <t>1.01.</t>
  </si>
  <si>
    <t>1.03.</t>
  </si>
  <si>
    <t>1.04.</t>
  </si>
  <si>
    <t>1.06.</t>
  </si>
  <si>
    <t>1.07.</t>
  </si>
  <si>
    <t>1.08.</t>
  </si>
  <si>
    <t>1.09.</t>
  </si>
  <si>
    <t>TRANSFERENCIAS CORRIENTES AL SECTOR PÚBLICO</t>
  </si>
  <si>
    <t>TOTAL RESUMEN PROGRAMA I</t>
  </si>
  <si>
    <t>RESUMEN  PROGRAMA II  FORTALECIMIENTO MUNICIPAL</t>
  </si>
  <si>
    <t>PROGRAMA DE FORTALECIMIENTO MUNICIPAL</t>
  </si>
  <si>
    <t>DEPARTAMENTO GESTIÓN DE FORTALECIMIENTO INSTITUCIONAL</t>
  </si>
  <si>
    <t xml:space="preserve">INNOVACIÓN Y DESARROLLO </t>
  </si>
  <si>
    <t xml:space="preserve">GESTIÓN SERVICIOS TÉCNICOS Y FINANCIAMIENTO </t>
  </si>
  <si>
    <t xml:space="preserve">CAPACITACIÓN Y FORMACIÓN </t>
  </si>
  <si>
    <t xml:space="preserve">TECNOLOGÍAS DE INFORMACIÓN </t>
  </si>
  <si>
    <t>TOTAL RESUMEN PROGRAMA II</t>
  </si>
  <si>
    <t>TOTAL RESUMEN PRESUPUESTO INSTITUCIONAL</t>
  </si>
  <si>
    <t>MONTO                   (en miles de millones)</t>
  </si>
  <si>
    <t xml:space="preserve"> PROGRAMA I ADMINISTRACIÓN GENERAL</t>
  </si>
  <si>
    <t xml:space="preserve"> PROGRAMA II GESTIÓN DE FORTALECIMIENTO MUNICIPAL</t>
  </si>
  <si>
    <t>TOTALES</t>
  </si>
  <si>
    <t>EJECUCIÓN  INSTITUCIONAL</t>
  </si>
  <si>
    <t xml:space="preserve">  25,037,438,872.51 </t>
  </si>
  <si>
    <t xml:space="preserve">    7,014,599,222.12 </t>
  </si>
  <si>
    <t>transferencias corrientes a instituciones descentralizadas</t>
  </si>
  <si>
    <t xml:space="preserve">Transferencias </t>
  </si>
  <si>
    <t>Transferencias de capital</t>
  </si>
  <si>
    <t xml:space="preserve"> PRESUPUESTO  - 2020</t>
  </si>
  <si>
    <t>PROYECTO DE PRESUPUESTO 2020</t>
  </si>
  <si>
    <t>Presupuesto asignado a la UTI, la UTI hasta la fecha no tiene requerimientos, avance ni alcance del mismo. Este Sistema esta asiganado a la presidencia. Se va a coordinar con Marlon la inclusión de la información. Este proyecto es de la Presidencia
Este proyecto es de interés de desarrollo de la Presidencia Ejecutiva. El Presupuesto será readecuado y sí se tiene planificado inciar con la contratación en 2020. A la fecha no se ha iniciado con el proyecto, debido a que la atención de la pandemia ocasionada por el COVID19 ha requerido de la atención prioritaria por parte de la Presidencia Ejecutiva y sus funcionarios debido a la permanente coordinación que se realiza con la Mesa de Gestión Municipal, las autoridades municipales y los diferentes sectores productivos.                                                                                                             (META PROGRAMADA PARA EL II SEMESTRE)</t>
  </si>
  <si>
    <t xml:space="preserve">A nivel de la programación de compras, esto corresponde a un solo producto basado en la realización del sistema de egresos municipales en la primer linea. Y corresponde a ¢85,000,000.00 para la suma de ¢185,000,000.00. En la primer linea se explica porque no se ha ejecutado.
Los otros ¢15,000,000.00 corresponden a una linea no ingresada en este formulario, del sistema de movilidad activa el cual se encuentra en un 80% de avance y es un proyecto avalado por la presidencia ejecutiva.
Este proyecto es de interés de desarrollo de la Presidencia Ejecutiva. El Presupuesto será readecuado y sí se tiene planificado inciar con la contratación en 2020. A la fecha no se ha iniciado con el proyecto, debido a que la atención de la pandemia ocasionada por el COVID19 ha requerido de la atención prioritaria por parte de la Presidencia Ejecutiva y sus funcionarios debido a la permanente coordinación que se realiza con la Mesa de Gestión Municipal, las autoridades municipales y los diferentes sectores productivos.                                                                                                                    (META PROGRAMADA PARA EL II SEMESTRE)
</t>
  </si>
  <si>
    <t>II EXTRAORDINARIO      
Oficio DE-UTI-0105-2020 del 23 de julio de 2020 Suscrito por el señor Alberto Agüero Herrera, Jefe de la Unidad de Tecnologías de Información, donde solicita rebajar las siguiente subpartida:
➢ 02.05.5.99.03 “Bienes intangibles”, disminuye en -₡10.000.000.00. Se concluye  la adquisición e implementación de todos los insumos.</t>
  </si>
  <si>
    <t>A partir del mes de marzo y abril el sistema se encuentra en la etapa de producción en la Municipalidad de Aserrí, con respecto a las municipalidades de Santa Barbara y Acosta se esta trabajando en la depuración de la Base de Datos a ser migrada. Se esta en fase de implementacion de las Municipalidades de Aserri, Acosta, Santa Barbara y  Montes de Oro. Municipalidad de Aserrí esta en producción y  La Municipalidad de Acosta, Santa Barbara y Montes de Oro estan entrando en producción.</t>
  </si>
  <si>
    <t>El proyecto no se ha iniciado, esto debido a ver la factibilidad de migrar el sistema CAFI a web, para posteriomente dar nuestro sistema institucional a las municipalidades y el IFAM contar con un sistema WEB, esto minimizaria el impacto en recursos institucionales de realizar a futuro otra contratación para realizar la migracion del sistema CAFI. 
El inicio del cartel esta pendiente de aprobación. En la programación de compras esta linea corresponde a ¢185,000,000.00. Se le va disminuir 115 millones a este proyecto, esto por la disminución de ingresos por el tema de la pandemia. Se esta en elaboración de los términos de referencia y realizando el estudio de mercado. Esta contratación se espera iniciar en Agosto y adjudicarla en Noviembre. El producto se recibiria a finales del primer semestres 2021  (META PROGRAMADA PARA EL II SEMESTRE)
Se espera que para Diciembre se incie la ejecución del proyecto y se tenga a final de año un 10% de avance.</t>
  </si>
  <si>
    <t>% EJECUCIÓN ACUMULADA</t>
  </si>
  <si>
    <t>Cuadro 2</t>
  </si>
  <si>
    <t>Instituto de Fomento y Asesoría Municipal</t>
  </si>
  <si>
    <t>III Evaluación trimestral Plan Operativo Institucional 2019</t>
  </si>
  <si>
    <t>PERIODO DE ANÁLISIS</t>
  </si>
  <si>
    <t>III Trimestre</t>
  </si>
  <si>
    <t xml:space="preserve">TOTAL DE METAS </t>
  </si>
  <si>
    <t>PORCENTAJE DE METAS CON EJECUCIÓN EN EL RANGO DE MEDIA A ALTA EJECUCIÓN</t>
  </si>
  <si>
    <t>PORCENTAJE</t>
  </si>
  <si>
    <t>AÑO 2019</t>
  </si>
  <si>
    <t>Metas con Ejecución media  26% a 70%</t>
  </si>
  <si>
    <t>Estado de metas al 30 de setiembre 2020</t>
  </si>
  <si>
    <t>Metas con Ejecución al corte 70% a 100%</t>
  </si>
  <si>
    <t>ACUMULADO ANUAL</t>
  </si>
  <si>
    <t>PROGRAMA I</t>
  </si>
  <si>
    <t>PROGRAMA II</t>
  </si>
  <si>
    <t>AÑO 2020</t>
  </si>
  <si>
    <t>PROGRAMA</t>
  </si>
  <si>
    <t xml:space="preserve">  Metas con baja  Ejecución 0% a 25%</t>
  </si>
  <si>
    <t>Metas con baja    Ejecución 0% a 25%</t>
  </si>
  <si>
    <t>En el proceso de Reclutamiento y Selección, contamos a la fecha con 20 plazas vacantes, para el primer trimestre de 2020, se han realizado varios concursos (internos y externos), a la fecha tenemos abiertos (en proceso) 06 concursos internos y 06 externos. Para el I Trimestre no se ha realizado ningún estudio de homologación y reasignación de puesto. Se realizaron aproximadante un total de 40 constancias y 10 certificaciones en el I Trimestre 2020, además las vacaciones se encuentran al día para I Trimestre de este año, se están actualizando con la información del personal que laboró en semana santa (los días 6, 7 y 8 de abril 2020), por último las planillas se encuentran al día.  Para el segundo trimestre, se contrataron 5 funcionarios en concursos internos, 3 en concursos externos de los cuales 2 ingresarán a la institución durante el mes de julio.  Hay abiertos 6 concursos internos y 12 concursos externos.La Unidad de TH emitió 60 constancias y 90 certificaciones.                                                                                                                            III Trimestre 2020: se llenaron 16 plazas, de las cuales 2 fueron por concurso interno y 14 por concurso externo, quedan 11 plazas vacantes. A la fecha se cuenta con 6 concursos externos abiertos y 3 internos; de 2 plazas aún no se ha realizado ninguna gestión. Se emitieron en promedio 100 certificaciones (certificaciones por restricción a la circulación vehicular, motivo por el cual se incrementó) y 65 constancias salariales. Durante este trimestre no se realizó ningún estudio de homologación ni reasignaciones de puestos. El tema de las vacaciones se encuentra al día y el sistema de planillas también se ha alimentado y a la fecha está al día.</t>
  </si>
  <si>
    <t>No se cuenta con la oferta programática para determinar los requerimientos de capacitación, por lo tanto no podemos avanzar al respecto.  Al finalizar el segundo semestre sigue pendiente la oferta programática.  Para el segundo semestre solo se va a dejar la suma de 800.000 que fueron presupuestados por la Auditoría Interna, el resto se liberará por la emergencia de la pandemia.                                                                           III Trimestre 2020: no se cuenta con la oferta programática, con la entrada los encargados de las Unidades del DGFM se espera se realice la oferta para el último trimestre del año 2020.</t>
  </si>
  <si>
    <t>:II EXTRAORD
Requerimiento de la Presidencia Ejecutiva, donde solicita rebajar las siguientes subpartidas
➢ 01.04.1.05.01 “Transporte dentro del país”, disminuye en -₡200.000.00
Página 3 de 6
➢ 01.04.1.05.02 “Viáticos dentro del país”, disminuye en -₡1.195.700.00               
 Requerimiento de la Presidencia Ejecutiva, donde solicita rebajar las siguientes subpartidas:
➢ 01.04.2.99.03 “Productos de papel, cartón e impreso”, disminuye en -₡250.000.00
➢ 01.04.2.99.05 “Útiles y materiales de limpieza”, disminuye en -₡50.000.00
➢ 01.04.2.99.07 “Útiles y materiales de cocina y comedor”, disminuye en -₡50.000.00                                          1) Agenda estratégica La  Presidencia  tiene una agenda estratégica que responde a las necesidades de la institución y los municipios.     2) Alianzas estratégicas, actualmente se estan elaborando los siguientes  convenios:Convenio Marco y Especifico con el Colegio Federado de Ingenieros y Arquitectos, para  fortalecer el tema de capacitaciones,   el  Convenio Especifico para temas de capacitación AYA-IFAM,  Convenio entre el Bolsa de Valores-IFAM.  3) Recomendaciones y disposiciones cumplidas                                             4)Coordinación con los diferentes sectores para el mejoramiento municipal, actualmente con el tema de la emergencia se han realizado  coordinaciones Minsiterio de Salud, CNE y otros instituciones con el fin de brindarle a las municipalalidades  la información que requieran durante la Emergencia.                                                                                        5 ) Normativa para fortalecer el régimen municipal.    Se realizó transferencia de 1000 millones a CNE</t>
  </si>
  <si>
    <t>A SETIEMBRE 20
1.	AREA DE GESTIÓN TRIBUTARIA
•	El 13 de junio de 2020 se actualizó y se publicó en Gaceta el factor del impuesto de la cerveza nacional y extranjera correspondiente al III trimestre de 2020.
•	Se revisaron las declaraciones de ventas y el pago de impuestos de los sujetos pasivos de licores y cervezas nacionales, y se hicieron las correspondientes aclaraciones con respecto a posibles errores o rectificaciones de declaraciones de impuestos, a los sujetos pasivos, posteriormente se comunicó a los sujetos pasivos para que procedieran como corresponde.
•	Se informo mediante correos masivos del 29 de junio de 2020, 19 de marzo 2020 y 13 de abril de 2020 a los sujetos pasivos de los cambios en el factor del impuesto a la cerveza y la atención durante el estado de emergencia por el COVID-19. 
•	Devolución de Impuestos a Sujetos Pasivos.
La empresa Centenario Internacional procedió a solicitar la devolución de impuestos cancelados de más por medio del TICA, se procedió a realizar el respectivo estudio y posterior informe de devolución, para lo cual se le solicito a la empresa atender el requerimiento IFAM-DAH-UAT-076-2020.
2.	AREA DE FISCALIZACIÓN TRIBUTARIA
•	En el mes de mayo 2020 se finalizó con el estudio de fiscalización de la empresa Licores y Cremas Lizano y se procedió con el informe y propuesta de regularización tributaria y finalmente se convocó a audiencia para la presentación de resultados el 26 de junio de 2020.
•	Se avanzó en el estudio de fiscalización practicado a las siguientes empresas:  Cooperativa de Productores de Leche Dos Pinos R.L, Bancor Internacional S.A., Consejo Nacional de Producción (CNP), Centenario Internacional S.A., y Productora la Florida S.A., se concluyó la transcripción de la información de las declaraciones de ventas, y  se han elaborado las hojas de cálculo con la estructura utilizada por la empresa para calcular y pagar el impuesto sobre los licores nacionales a favor del IFAM y la estructura de cálculo utilizada por el IFAM, así como las tablas de cálculo para determinar la existencia de diferencias pagadas de más o de menos por el sujeto pasivo. Con el fin de ir adelantando la conclusión del estudio de fiscalización, paralelamente se realiza la elaboración del informe final.
3.	AREA DE RECAUDACIÓN TRIBUTARIA
•	Se actualizan los intereses al 26 de junio de 2020 del EXPEDIENTE DE FISCALIZACIÓN TRIBUTARIA N°03-2016, realizando la actualización de cuadros de cálculo y confección de la certificación del adeudo tributario DE-0888-2020 del 22 de junio de 2020.
•	Se actualizan los intereses para el monitorio de cobro de los impuestos declarados y no cancelados por la Empresa Licores y Cremas Lizano durante el periodo comprendido entre enero 2015 y julio 2019.
4.	OTROS
•	Sistema de Administración Tributaria
Es importante mencionar que la Unidad de Administración Tributaria depende de Tecnologías de Información para avanzar en el proceso de la actualización del sistema, por lo cual actualmente se encuentran en un impasse, sin embargo, en atención a la recomendación del informe de Auditoría Interna, se solicitó a la Dirección Ejecutiva girar instrucciones a Sistemas de Información para continuar con la actualización del Sistema.
A MARZO 2020
1.	GESTIÓN TRIBUTARIA
•	El 20 de noviembre de 2019 y jueves 27 de febrero de 2020 se actualizó y se publicó en Gaceta el factor del impuesto de la cerveza nacional y extranjera correspondiente al I y II trimestre de 2020 respectivamente.
•	El martes 07 de enero de 2020, se publicó en la Gaceta la primera actualización de la tasa de interés.
•	Se revisaron las declaraciones de ventas y el pago de impuestos de los sujetos pasivos de licores y cervezas nacionales, y se hicieron los ajustes correspondientes, posteriormente se comunicó a los sujetos pasivos el resultado, con lo cual algunos sujetos pasivos regularizaron su situación tributaria, como los Cervecería Escazú y Treinta y cinco.
•	Se informo mediante correos masivos del 18 de diciembre de 2019, 17 de enero de 2020 y 18 de marzo de 2020 a los sujetos pasivos de los cambios en el factor del impuesto a la cerveza y en la tasa de interés. 
•	Se atendieron solicitudes de inscripción, desinscripción y actualización de contribuyentes, de las empresas:
o	Monteverde Brewing – Inscripción
o	Uno Cero Uno – Desincripción
o	Os Beer Co SA – Desincripción
o	Natalia Fonseca Soto – Desincripción.
•	Devolución de Impuestos a Sujetos Pasivos.
Se solicitó que se incorpore en el Presupuesto Extraordinario 1-2020, la suma de 7,800,386.65 (Siete millones ochocientos mil trecientos ochenta y seis colones con sesenta y cinco céntimos), en la partida N° 01.08.6.06.02, denominada Reintegros y Devoluciones y que los fondos sean tomados del superávit Libre, esto con el fin de atender las solicitudes de devolución de impuestos pagados en demasía por concepto de licores y cervezas extranjeras.
2.	FISCALIZACIÓN TRIBUTARIA
•	Durante el primer trimestre de 2020, se ha avanzado en los estudios de fiscalización de: Licores y cremas Lizano, Cooperativa de Productores de Leche Dos Pinos R.L, Bancor Internacional, Centenario Internacional y Productora La Florida.
1.	RECAUDACIÓN TRIBUTARIA
•	Se solicito al Ministerio de Hacienda la devolución de impuestos sobre licores Importados dejados de percibir por el IFAM.
Por medio del oficio DF-407-2019, de 16 de diciembre de 2019, la Dirección de Fiscalización del Servicio Nacional de Aduanas comunicó a la Dirección Ejecutiva del Instituto de Fomento y Asesoría Municipal, que mediante comprobante N°. 136561, de 11 de junio de 2019, ingresó a la cuenta de caja única del Estado la suma de ¢5.728.114,76, por concepto de impuestos dejados de percibir por el IFAM.
En razón de lo anterior, se realizan las gestiones ante la Direccion Jurídica del ministerio de Hacienda para su devolución.
•	Ante la manifestación del CNP de pretender realizar un arreglo de pago por el adeudo tributario que mantiene con la Institución del periodo 2009, la Unidad de Administración Tributaria a solicitud del Director Ejecutivo procedió a realizar el documento del convenio de arreglo de pago y las respectivas tablas de cálculo, sin embargo, a la fecha aún no se ha firmado este convenio.
3.	OTROS
•	Sistema de Administración Tributaria
Es importante mencionar que la Unidad de Administración Tributaria depende de Tecnologías de Información para avanzar en el proceso de la actualización del sistema, por lo cual actualmente se encuentran en un impasse, sin embargo, en atención a la recomendación del informe de Auditoría Interna, se solicitó a la Dirección Ejecutiva girar instrucciones a Sistemas de Información para continuar con la actualización del Sistema.</t>
  </si>
  <si>
    <t>Se han atendido el tema de la gestión documental según lo establecido .                                                               Compra de materiales para las labores de clasificación, alimentación para dos capacitaciones al año.  Al finalizar el tercer trimestre, doce unidades administrativas están en el proceso de cumplir con la normativa.  Sigue pendiente las capacitaciones.</t>
  </si>
  <si>
    <t>Se ha supervisado las unidades y el cumplkimiento a las unidades a cargo de este departamento según lo programado .                                                                                                                                                                                    El 24 de febrero ingresó la Encargada de la Unidad de Talento Humano, lo cual permitirá darle un mayor seguimiento a los procesos de dicha Unidad.  En temas de capacitación no se ha podido avanzar pues se tiene pendiente la oferta programática.  En temas reclutamiento y selección se está trabajando y se espera una mayor dinamica, gracias al compromiso y poyo de la PE y la DE.                                                                        Con respecto a Servicios Generalesreviso y ajusto  el presupuesto 2020 para que en conjunto con la DE, nos indiquen las nuevas prioridades, dado la situación con la pandemia.  Con la Unidad de Adquisiciones, se ha venido trabajando desde la Comisión de Contrataciones y Adquisiciones, según los requerimientos que se han tenido.  Con el Archivo Central, Doña. Ludy ha venido apoyando a las unidedes en temas relacionados con la tabla de plazos y a TI en lo relacionado con el gestor documental. .  En Servicios Generales se le dio el seguimiento de los contratos para el buen funcionamiento institucional.  Se está trabajando en los TDR de la nueva planta eléctrica y en el nuevo sistema eléctrico de la Unidad de Tecnología de Información.  En la UAC se atendieron en tiempo y forma las contrataciones directas, una licitación abreviada y una licitación pública.  Referente al archivo central, la profesional de esa área, está trabajando en coordinación con cada una de las unidades administrativas en la actualización de la normativa técnica en materia de archivo y custodia de la información.</t>
  </si>
  <si>
    <t>En el primer trimestre del año la Unidad de Servicios Generales realizó las contrataciones del alquiler de la planta eléctrica, mantenimiento de los vehículos, mantenimiento de equipos de impresión, compra de repuestos varios para mantenimiento menores del edificio. Seguimiento y administración de los contratos a su cargo para el buen funcionamiento del Edificio y la institución (seguridad, limpieza, recepción, mensajería, limpieza áreas verdes, mantenimiento del edificio, mantenimiento de portones, mantenimiento de ascensores, mantenimiento de tuberías, lavado de vehículos) Se encuentran en proceso las contrataciones de precalificación de talleres, impermeabilización y limpieza del tanque de agua. Durante los meses de enero a setiembre 2020 se atendieron todas giras solicitadas y se ha cancelado los servicios publicos correspondientes. Se eliminó  meta de compra de vehiculos debido a la emetgencia COVID además se recorto a actividades que no son esenciales</t>
  </si>
  <si>
    <r>
      <t xml:space="preserve">70% correspondiente a salarios.                                                                                                                                               La Asesoría Jurídica, atiende todo lo referido a la gestión tributaria, por tratarse el IFAM de dministración tributaria. Se incluyó a un funionario en esta gestión con el fin de que realice gectión tributaria y eventualmente sustituya al servidor que oportunamente se jubilará. •  Se atienden 10  en total procesos judiciales en materia tributaria. •                    </t>
    </r>
    <r>
      <rPr>
        <b/>
        <sz val="10"/>
        <rFont val="Arial"/>
        <family val="2"/>
      </rPr>
      <t>Se atienden 14 trámites en total procesos judiciales en materia contencioso administrativa, de ellos 5 son contenciosos tributarios</t>
    </r>
    <r>
      <rPr>
        <b/>
        <sz val="9"/>
        <rFont val="Arial"/>
        <family val="2"/>
      </rPr>
      <t xml:space="preserve"> •      </t>
    </r>
    <r>
      <rPr>
        <b/>
        <sz val="10"/>
        <rFont val="Arial"/>
        <family val="2"/>
      </rPr>
      <t xml:space="preserve">      Se atendieron 2+2=4 en total resoluciones determinativas. •	se tramitaron 02 procesos de Pago de Ejecutoria de Sentencia
•	Se tramitan 18 procesos monitorios dinerarios, todos en trámite actualmente
Observaciones:   </t>
    </r>
    <r>
      <rPr>
        <b/>
        <sz val="9"/>
        <rFont val="Arial"/>
        <family val="2"/>
      </rPr>
      <t xml:space="preserve"> </t>
    </r>
  </si>
  <si>
    <t>II EXTRAORDINARIO
➢ 01.01.1.05.01 “Transporte dentro del país”, disminuye en -₡50.000.00
➢ 01.01.1.07.01 “Actividades de Capacitación”, disminuye en -₡500.000.00                                                             Al 30 de setiembre la Junta Directiva ha tomado 220 acuerdos que van del JD-001-20 al JD-166-20, que se desglosan de la siguiente forma: Enero 14, febrero 25, marzo 24, abril 21, mayo 16, junio 23, julio 31, agosto 34 y setiembre 29.  Se hace la aclaración que algunos acuerdos no se les asigna número de oficio porque son de ejecución inmediata por esa razón la numeración no coincide con la cantidad de acuerdos.</t>
  </si>
  <si>
    <t>Errol Solis Mata</t>
  </si>
  <si>
    <t>Este proyecto se realizará en el forma conjunta con el MEIC,PROCOMER e IFAM, se realizará mediante una donación y se realizará la contratación para la implementación y desarrollo del mismo. La Supervisión se realizará por parter de la Presidencia de IFAM  . Esta meta esta ejecutada hasta el contrato, que por la situación del COVID-19 se encuentra suspendido hasta nuevo aviso por parte de las autoridades competentes.</t>
  </si>
  <si>
    <t xml:space="preserve">En seguimiento al presupuesto ordinario y al plan de compras, se efectuaron las siguientes modificaciones presupuestarias, durante el periodo en estudio: 
JD-106-2020
JD-130-2020
JD-153-2020                                                                                                                                                                                La ejecución presuipuestaria es de un 40,15%, la cual ha sido afectaada por la emergencia del COVID debido  a la suspensión de contratos y disminució de ingresos
</t>
  </si>
  <si>
    <t>Se han realizado Depósitos por 2,237,026,041,98 (56,3%)tanto en transferencias de Capital como trasnferencias corrientes.  Se ha dado baja en los ingresos  debido a que por efectos de la emergencia los ingresos han disminuido por concepto tributario</t>
  </si>
  <si>
    <t xml:space="preserve">User:II EXTRAORD
Oficio DGFM-0388-2020 del 05 de junio de 2020 Suscrito por la señora Heidy Montero Dent, Jefa del Departamento de Gestión y Fortalecimiento Municipal, donde solicita rebajar las siguientes subpartidas 
➢ 02.03.1.04.03 “Servicios de ingeniería”, disminuye en -₡75 723 405,47                                                                                                          
Proyecto Residuos Sólidos Región Brunca (Fondos no reembolsables $322.000.00=189.000.000,00)
Coto Brus
Pérez Zeledón
Buenos Aires
Fronterizo Corredores
Costero  Golfito
Costero   Osa
Se inició el proceso de contratación administrativa para llevar a cabo los estudios de preinversión para la Región Brunca sin embargo el proceso se declaró infructuoso y fue presentado el resultado a la Junta Directiva y a la Presidencia Ejecutiva, no se pudo avanzar y hay que realizar el proceso de nuevo.  30-6-2020
Fronterizo : Zona Norte (Gustuso, Upala, Los Chiles)
En el caso de la ZN, el proyecto se encuentra tramitando permiso ante el SETENA relacionado con elementos arqueológicos y hasta tanto no se obtenga la debida autorización no se puede girar recursos o realizar obras de infraestructura para la aplicación de estos recursos (al 30-6-2020                                                                                                          </t>
  </si>
  <si>
    <t xml:space="preserve">Suspendido por Declaratora de Emergencia Nacional Pandemia COVID, gestiones serán reactivadas inicinado II Semestre Junio 2020.
Ricardo:
Socialización: Se retoma en el 4to Trimestre 2020 Se realizó coordinación con la contraparte de la Mesa Interinstitucional para el impulso de Planes Reguladores, evaluando la posible estrategia para la socialización del Manual para la elaboración de los Plane Reguladores Costeros (INVU-ICT 2017), y del Manual para elaboración de Planes Reguladores como instrumentos de ordenamiento territorial (INVU 2018). Para el conocimiento de las nuevas autoridades 2020-2024.                                                                    Esta meta ya esta concluida , la divulgación se realizó en los primeros meses del año , sin embargo debido al cambio de autoridades se volvera realizar en el 4to trimestre como información a las nuevas autoridades
</t>
  </si>
  <si>
    <t>Ricardo Madrigal Villalobos</t>
  </si>
  <si>
    <t xml:space="preserve">En el tercer trimestre se implementó el teletrabajo en la consultorio médico. Se están atendiendo el 100 % de las consultas médicas mediante teams, correo electrónico, o presencial. La consulta virtual o de solicitud de medicación es la mayoría. Se atendieron un aproximado de 128 consultas en el trimestre, siendo setiembre el de mayor númerod de casos con 81 consultas. La consulta presencial se promedia a 5-8 funcionarios por mes. Se han estado tramitando las recetas médicas de los pacientes crónicos ( en promedio 45 por mes ) y los medicamentos se entregan en sus casas en coordinación con la USG. Se aperturó el expediente clínico de 17 funcionarios nuevos incluyendo en los mismos las historias clínicas, la carpeta de archivos, revisión de los documentos y emisión de boletas de laboratorio. Se renovó la habilitación del Permiso Sanitario Funcionamiento del consultorio médico ante el Ministerio de Salud, y se obtuvo por primera vez el PSF del IFAM ante el MINSA. Se retomó el contacto con el proyecto EDUS-CCSS. Se habilitó el consultorio médico para la atención de Medicina Mixta de la CCSS. Se cumplió con los requerimientos solicitados por el INS para el Consultorios Médicos Laborales . Se redactó el Manual de procedimientos del Consultorio médico. Se actualizaron los riesgos y se elaboró el presupuesto 2021. Se renovó el contrato de Manejo Profesional de Desechos quienes se encargan del manejo integral de los desechos biopeligrosos del consultorio médico. En coordinación con la comisión COVID quedó implementado y en ejecución la versión final del "Protocolo para la reactivación y continuidad de las funciones del Instituto de Fomento y Asesoría Municipal, debido al Estado de Emergencia Nacional por el COVID-19. En conjunto con la UTH se trabajó en el Manual de Inducción del nuevo funcionario del IFAM. Se coordinó la revisión y mantenimiento preventivo de los equipos del consultorio médico. Se participó en un curso de Primeros Auxilios Psicológicos así como los cursos de la Brigada de Emergencias del IFAM. Por la emergencia COVID no se están realizando campañas de salud, servicios de salud ni chequeos médicos preventivos. </t>
  </si>
  <si>
    <t>II EXTRAORDINARIO
Oficio JD-AI-0115-2020 del 11 de junio de 2020 Suscrito por el señor Juan Jácamo Chacón, Auditor Interno, donde solicita rebajar las siguientes subpartidas:
➢ 01.02.5.01.04 “Equipo y mobiliario de oficina”, disminuye en -₡300.000.00                                                     Los resultados acumulados de las actividades realizadas por la Auditoría Interna, con respecto al POI,  al III Trimestre son:
Informes                                   12
Asesorías y Advertencias     18
Libros de Actas                         6   
Rendición de Cuentas           14
TOTAL ACTIVIDADES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</si>
</sst>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140A]* #,##0.00_);_([$₡-140A]* \(#,##0.00\);_([$₡-140A]* &quot;-&quot;??_);_(@_)"/>
    <numFmt numFmtId="167" formatCode="0.0%"/>
    <numFmt numFmtId="168" formatCode="_-[$₡-140A]* #,##0.00_ ;_-[$₡-140A]* \-#,##0.00\ ;_-[$₡-140A]* &quot;-&quot;??_ ;_-@_ "/>
    <numFmt numFmtId="169" formatCode="[$₡-140A]#,##0.00"/>
    <numFmt numFmtId="170" formatCode="_-[$$-80A]* #,##0.00_-;\-[$$-80A]* #,##0.00_-;_-[$$-80A]* &quot;-&quot;??_-;_-@_-"/>
    <numFmt numFmtId="171" formatCode="_-[$₡-140A]* #,##0.00_-;\-[$₡-140A]* #,##0.00_-;_-[$₡-140A]* &quot;-&quot;??_-;_-@_-"/>
    <numFmt numFmtId="172" formatCode="_(&quot;₡&quot;* #,##0.0_);_(&quot;₡&quot;* \(#,##0.0\);_(&quot;₡&quot;* &quot;-&quot;??_);_(@_)"/>
    <numFmt numFmtId="173" formatCode="&quot;₡&quot;#,##0.00_);[Red]\(&quot;₡&quot;#,##0.00\)"/>
    <numFmt numFmtId="174" formatCode="&quot;₡&quot;#,##0.00;[Red]&quot;₡&quot;#,##0.00"/>
  </numFmts>
  <fonts count="81" x14ac:knownFonts="1">
    <font>
      <sz val="11"/>
      <color theme="1"/>
      <name val="Calibri"/>
      <family val="2"/>
      <scheme val="minor"/>
    </font>
    <font>
      <b/>
      <sz val="18"/>
      <color theme="1"/>
      <name val="Calibri"/>
      <family val="2"/>
      <scheme val="minor"/>
    </font>
    <font>
      <sz val="18"/>
      <color theme="1"/>
      <name val="Calibri"/>
      <family val="2"/>
      <scheme val="minor"/>
    </font>
    <font>
      <b/>
      <sz val="14"/>
      <color theme="1"/>
      <name val="Arial"/>
      <family val="2"/>
    </font>
    <font>
      <b/>
      <sz val="12"/>
      <color theme="1"/>
      <name val="Arial"/>
      <family val="2"/>
    </font>
    <font>
      <sz val="12"/>
      <color theme="1"/>
      <name val="Arial"/>
      <family val="2"/>
    </font>
    <font>
      <b/>
      <sz val="14"/>
      <color theme="0"/>
      <name val="Arial"/>
      <family val="2"/>
    </font>
    <font>
      <b/>
      <sz val="9"/>
      <name val="Arial"/>
      <family val="2"/>
    </font>
    <font>
      <b/>
      <sz val="14"/>
      <name val="Arial"/>
      <family val="2"/>
    </font>
    <font>
      <b/>
      <sz val="8"/>
      <name val="Arial"/>
      <family val="2"/>
    </font>
    <font>
      <b/>
      <sz val="8"/>
      <color theme="0"/>
      <name val="Arial"/>
      <family val="2"/>
    </font>
    <font>
      <sz val="8"/>
      <color theme="1"/>
      <name val="Calibri"/>
      <family val="2"/>
      <scheme val="minor"/>
    </font>
    <font>
      <sz val="11"/>
      <color theme="1"/>
      <name val="Calibri"/>
      <family val="2"/>
      <scheme val="minor"/>
    </font>
    <font>
      <sz val="8"/>
      <name val="Arial"/>
      <family val="2"/>
    </font>
    <font>
      <b/>
      <sz val="7"/>
      <name val="Arial"/>
      <family val="2"/>
    </font>
    <font>
      <sz val="9"/>
      <name val="Arial"/>
      <family val="2"/>
    </font>
    <font>
      <sz val="11"/>
      <color theme="1"/>
      <name val="Calibri"/>
      <family val="2"/>
    </font>
    <font>
      <sz val="10"/>
      <name val="Arial"/>
      <family val="2"/>
    </font>
    <font>
      <sz val="8"/>
      <name val="Calibri"/>
      <family val="2"/>
      <scheme val="minor"/>
    </font>
    <font>
      <b/>
      <sz val="9"/>
      <color theme="1"/>
      <name val="Arial"/>
      <family val="2"/>
    </font>
    <font>
      <b/>
      <sz val="16"/>
      <color theme="1"/>
      <name val="Calibri"/>
      <family val="2"/>
      <scheme val="minor"/>
    </font>
    <font>
      <b/>
      <sz val="12"/>
      <color theme="1"/>
      <name val="Calibri"/>
      <family val="2"/>
      <scheme val="minor"/>
    </font>
    <font>
      <b/>
      <sz val="11"/>
      <color theme="1"/>
      <name val="Arial"/>
      <family val="2"/>
    </font>
    <font>
      <sz val="11"/>
      <color theme="1"/>
      <name val="Arial"/>
      <family val="2"/>
    </font>
    <font>
      <b/>
      <sz val="9"/>
      <color theme="1"/>
      <name val="Calibri"/>
      <family val="2"/>
      <scheme val="minor"/>
    </font>
    <font>
      <sz val="9"/>
      <color theme="1"/>
      <name val="Calibri"/>
      <family val="2"/>
      <scheme val="minor"/>
    </font>
    <font>
      <b/>
      <u/>
      <sz val="9"/>
      <name val="Arial"/>
      <family val="2"/>
    </font>
    <font>
      <b/>
      <sz val="10"/>
      <color theme="0"/>
      <name val="Arial"/>
      <family val="2"/>
    </font>
    <font>
      <b/>
      <sz val="10"/>
      <name val="Arial"/>
      <family val="2"/>
    </font>
    <font>
      <sz val="10"/>
      <color theme="1"/>
      <name val="Calibri"/>
      <family val="2"/>
      <scheme val="minor"/>
    </font>
    <font>
      <b/>
      <sz val="10.5"/>
      <name val="Arial"/>
      <family val="2"/>
    </font>
    <font>
      <sz val="10.5"/>
      <name val="Arial"/>
      <family val="2"/>
    </font>
    <font>
      <sz val="10.5"/>
      <color theme="1"/>
      <name val="Arial"/>
      <family val="2"/>
    </font>
    <font>
      <b/>
      <sz val="13"/>
      <color theme="1"/>
      <name val="Arial"/>
      <family val="2"/>
    </font>
    <font>
      <b/>
      <sz val="13"/>
      <name val="Arial"/>
      <family val="2"/>
    </font>
    <font>
      <b/>
      <sz val="8"/>
      <color theme="9" tint="-0.499984740745262"/>
      <name val="Arial"/>
      <family val="2"/>
    </font>
    <font>
      <sz val="14"/>
      <color theme="1"/>
      <name val="Calibri"/>
      <family val="2"/>
      <scheme val="minor"/>
    </font>
    <font>
      <sz val="14"/>
      <color theme="1"/>
      <name val="Arial"/>
      <family val="2"/>
    </font>
    <font>
      <sz val="9"/>
      <color indexed="81"/>
      <name val="Tahoma"/>
      <family val="2"/>
    </font>
    <font>
      <b/>
      <sz val="9"/>
      <color indexed="81"/>
      <name val="Tahoma"/>
      <family val="2"/>
    </font>
    <font>
      <b/>
      <sz val="11"/>
      <name val="Arial"/>
      <family val="2"/>
    </font>
    <font>
      <b/>
      <sz val="12"/>
      <name val="Arial"/>
      <family val="2"/>
    </font>
    <font>
      <sz val="12"/>
      <color theme="1"/>
      <name val="Calibri"/>
      <family val="2"/>
      <scheme val="minor"/>
    </font>
    <font>
      <sz val="8"/>
      <color indexed="8"/>
      <name val="Courier New"/>
      <family val="3"/>
    </font>
    <font>
      <sz val="8"/>
      <color indexed="8"/>
      <name val="Arial"/>
      <family val="2"/>
    </font>
    <font>
      <sz val="10"/>
      <color indexed="8"/>
      <name val="Arial"/>
      <family val="2"/>
    </font>
    <font>
      <b/>
      <sz val="11"/>
      <color theme="1"/>
      <name val="Calibri"/>
      <family val="2"/>
      <scheme val="minor"/>
    </font>
    <font>
      <sz val="11"/>
      <name val="Calibri"/>
      <family val="2"/>
      <scheme val="minor"/>
    </font>
    <font>
      <sz val="11"/>
      <name val="Arial"/>
      <family val="2"/>
    </font>
    <font>
      <u/>
      <sz val="11"/>
      <color theme="1"/>
      <name val="Calibri"/>
      <family val="2"/>
      <scheme val="minor"/>
    </font>
    <font>
      <u/>
      <sz val="11"/>
      <color theme="10"/>
      <name val="Calibri"/>
      <family val="2"/>
      <scheme val="minor"/>
    </font>
    <font>
      <b/>
      <u/>
      <sz val="12"/>
      <name val="Arial"/>
      <family val="2"/>
    </font>
    <font>
      <b/>
      <sz val="13"/>
      <color theme="1"/>
      <name val="Arial"/>
    </font>
    <font>
      <b/>
      <sz val="11"/>
      <name val="Arial"/>
    </font>
    <font>
      <sz val="10.5"/>
      <name val="Arial"/>
    </font>
    <font>
      <sz val="14"/>
      <color theme="1"/>
      <name val="Arial"/>
    </font>
    <font>
      <b/>
      <sz val="8"/>
      <name val="Arial"/>
    </font>
    <font>
      <b/>
      <sz val="10"/>
      <name val="Arial"/>
    </font>
    <font>
      <b/>
      <sz val="12"/>
      <name val="Arial"/>
    </font>
    <font>
      <b/>
      <sz val="9"/>
      <color rgb="FFFF0000"/>
      <name val="Arial"/>
      <family val="2"/>
    </font>
    <font>
      <b/>
      <sz val="9"/>
      <name val="Arial"/>
    </font>
    <font>
      <sz val="11"/>
      <color theme="0"/>
      <name val="Calibri"/>
      <family val="2"/>
      <scheme val="minor"/>
    </font>
    <font>
      <sz val="11"/>
      <color rgb="FF000000"/>
      <name val="Calibri"/>
      <family val="2"/>
    </font>
    <font>
      <sz val="10"/>
      <color rgb="FF000000"/>
      <name val="Arial"/>
      <family val="2"/>
    </font>
    <font>
      <b/>
      <sz val="10"/>
      <color rgb="FF000000"/>
      <name val="Arial"/>
      <family val="2"/>
    </font>
    <font>
      <b/>
      <sz val="11"/>
      <color rgb="FF000000"/>
      <name val="Calibri"/>
      <family val="2"/>
    </font>
    <font>
      <b/>
      <sz val="11"/>
      <name val="Calibri"/>
      <family val="2"/>
      <scheme val="minor"/>
    </font>
    <font>
      <sz val="11"/>
      <color rgb="FF404040"/>
      <name val="Arial"/>
      <family val="2"/>
    </font>
    <font>
      <b/>
      <sz val="11"/>
      <color rgb="FFFF0000"/>
      <name val="Calibri"/>
      <family val="2"/>
    </font>
    <font>
      <b/>
      <sz val="11"/>
      <color rgb="FF000000"/>
      <name val="Arial"/>
      <family val="2"/>
    </font>
    <font>
      <sz val="11"/>
      <color theme="1"/>
      <name val="Aharoni"/>
      <charset val="177"/>
    </font>
    <font>
      <b/>
      <sz val="11"/>
      <color theme="1"/>
      <name val="Aharoni"/>
      <charset val="177"/>
    </font>
    <font>
      <b/>
      <sz val="8"/>
      <color theme="1"/>
      <name val="Aharoni"/>
      <charset val="177"/>
    </font>
    <font>
      <i/>
      <sz val="11"/>
      <color theme="1"/>
      <name val="Calibri"/>
      <family val="2"/>
      <scheme val="minor"/>
    </font>
    <font>
      <i/>
      <sz val="12"/>
      <color theme="1"/>
      <name val="Calibri"/>
      <family val="2"/>
      <scheme val="minor"/>
    </font>
    <font>
      <sz val="12"/>
      <color theme="0"/>
      <name val="Calibri"/>
      <family val="2"/>
      <scheme val="minor"/>
    </font>
    <font>
      <b/>
      <sz val="18"/>
      <color theme="0"/>
      <name val="Calibri"/>
      <family val="2"/>
      <scheme val="minor"/>
    </font>
    <font>
      <sz val="18"/>
      <color theme="0"/>
      <name val="Calibri"/>
      <family val="2"/>
      <scheme val="minor"/>
    </font>
    <font>
      <sz val="12"/>
      <color theme="0"/>
      <name val="Arial"/>
      <family val="2"/>
    </font>
    <font>
      <b/>
      <sz val="12"/>
      <color theme="0"/>
      <name val="Arial"/>
      <family val="2"/>
    </font>
    <font>
      <sz val="8"/>
      <color theme="0"/>
      <name val="Calibri"/>
      <family val="2"/>
      <scheme val="minor"/>
    </font>
  </fonts>
  <fills count="24">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0F7595"/>
        <bgColor indexed="64"/>
      </patternFill>
    </fill>
    <fill>
      <patternFill patternType="solid">
        <fgColor theme="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8EA9DB"/>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DBDBDB"/>
        <bgColor indexed="64"/>
      </patternFill>
    </fill>
    <fill>
      <patternFill patternType="solid">
        <fgColor rgb="FFFFFFFF"/>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6" tint="0.39997558519241921"/>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theme="0"/>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style="thick">
        <color theme="0"/>
      </left>
      <right/>
      <top/>
      <bottom/>
      <diagonal/>
    </border>
    <border>
      <left style="thick">
        <color theme="0"/>
      </left>
      <right/>
      <top/>
      <bottom style="thick">
        <color theme="0"/>
      </bottom>
      <diagonal/>
    </border>
    <border>
      <left style="thick">
        <color theme="0"/>
      </left>
      <right style="thick">
        <color theme="0"/>
      </right>
      <top/>
      <bottom/>
      <diagonal/>
    </border>
    <border>
      <left/>
      <right style="thick">
        <color theme="0"/>
      </right>
      <top/>
      <bottom style="thick">
        <color theme="0"/>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right style="medium">
        <color indexed="64"/>
      </right>
      <top style="medium">
        <color indexed="64"/>
      </top>
      <bottom style="medium">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right/>
      <top/>
      <bottom style="thick">
        <color theme="0"/>
      </bottom>
      <diagonal/>
    </border>
    <border>
      <left/>
      <right/>
      <top/>
      <bottom style="medium">
        <color indexed="64"/>
      </bottom>
      <diagonal/>
    </border>
    <border>
      <left/>
      <right style="thick">
        <color theme="0"/>
      </right>
      <top style="thick">
        <color theme="0"/>
      </top>
      <bottom style="thick">
        <color theme="0"/>
      </bottom>
      <diagonal/>
    </border>
    <border>
      <left style="medium">
        <color indexed="64"/>
      </left>
      <right/>
      <top/>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right style="thin">
        <color indexed="64"/>
      </right>
      <top style="thick">
        <color theme="0"/>
      </top>
      <bottom style="thick">
        <color theme="0"/>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bottom style="thin">
        <color indexed="8"/>
      </bottom>
      <diagonal/>
    </border>
    <border>
      <left style="medium">
        <color theme="0"/>
      </left>
      <right/>
      <top/>
      <bottom style="thick">
        <color theme="0"/>
      </bottom>
      <diagonal/>
    </border>
    <border>
      <left style="thick">
        <color theme="0"/>
      </left>
      <right/>
      <top/>
      <bottom style="thin">
        <color theme="0"/>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s>
  <cellStyleXfs count="14">
    <xf numFmtId="0" fontId="0" fillId="0" borderId="0"/>
    <xf numFmtId="9"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41" fontId="12" fillId="0" borderId="0" applyFont="0" applyFill="0" applyBorder="0" applyAlignment="0" applyProtection="0"/>
    <xf numFmtId="0" fontId="17" fillId="0" borderId="0"/>
    <xf numFmtId="41" fontId="12" fillId="0" borderId="0" applyFont="0" applyFill="0" applyBorder="0" applyAlignment="0" applyProtection="0"/>
    <xf numFmtId="0" fontId="12" fillId="0" borderId="0"/>
    <xf numFmtId="0" fontId="12" fillId="0" borderId="0"/>
    <xf numFmtId="0" fontId="12" fillId="0" borderId="0"/>
    <xf numFmtId="0" fontId="17" fillId="0" borderId="0"/>
    <xf numFmtId="164" fontId="12" fillId="0" borderId="0" applyFont="0" applyFill="0" applyBorder="0" applyAlignment="0" applyProtection="0"/>
    <xf numFmtId="0" fontId="50" fillId="0" borderId="0" applyNumberFormat="0" applyFill="0" applyBorder="0" applyAlignment="0" applyProtection="0"/>
    <xf numFmtId="165" fontId="12" fillId="0" borderId="0" applyFont="0" applyFill="0" applyBorder="0" applyAlignment="0" applyProtection="0"/>
  </cellStyleXfs>
  <cellXfs count="671">
    <xf numFmtId="0" fontId="0" fillId="0" borderId="0" xfId="0"/>
    <xf numFmtId="0" fontId="0" fillId="0" borderId="0" xfId="0"/>
    <xf numFmtId="0" fontId="2" fillId="0" borderId="0" xfId="0" applyFont="1"/>
    <xf numFmtId="0" fontId="5" fillId="0" borderId="0" xfId="0" applyFont="1"/>
    <xf numFmtId="0" fontId="4" fillId="0" borderId="0" xfId="0" applyFont="1" applyAlignment="1">
      <alignment vertical="center"/>
    </xf>
    <xf numFmtId="0" fontId="5" fillId="0" borderId="0" xfId="0" applyFont="1" applyAlignment="1"/>
    <xf numFmtId="0" fontId="1" fillId="0" borderId="0" xfId="0" applyFont="1" applyAlignment="1"/>
    <xf numFmtId="0" fontId="5" fillId="0" borderId="0" xfId="0" applyFont="1" applyFill="1"/>
    <xf numFmtId="0" fontId="5" fillId="0" borderId="0" xfId="0" applyFont="1" applyFill="1" applyAlignment="1"/>
    <xf numFmtId="0" fontId="1" fillId="0" borderId="0" xfId="0" applyFont="1"/>
    <xf numFmtId="0" fontId="0" fillId="0" borderId="0" xfId="0" applyAlignment="1">
      <alignment horizontal="center"/>
    </xf>
    <xf numFmtId="164" fontId="7" fillId="3" borderId="3" xfId="2" applyFont="1" applyFill="1" applyBorder="1" applyAlignment="1">
      <alignment horizontal="center" vertical="center" wrapText="1"/>
    </xf>
    <xf numFmtId="0" fontId="0" fillId="0" borderId="0" xfId="0" applyAlignment="1">
      <alignment wrapText="1"/>
    </xf>
    <xf numFmtId="0" fontId="0" fillId="0" borderId="0" xfId="0"/>
    <xf numFmtId="0" fontId="0" fillId="0" borderId="0" xfId="0" applyAlignment="1">
      <alignment horizontal="center"/>
    </xf>
    <xf numFmtId="0" fontId="7" fillId="3" borderId="4" xfId="0" applyFont="1" applyFill="1" applyBorder="1" applyAlignment="1">
      <alignment horizontal="justify" vertical="top" wrapText="1"/>
    </xf>
    <xf numFmtId="0" fontId="7" fillId="2" borderId="3" xfId="0" applyFont="1" applyFill="1" applyBorder="1" applyAlignment="1">
      <alignment vertical="center" wrapText="1"/>
    </xf>
    <xf numFmtId="0" fontId="1" fillId="9" borderId="0" xfId="0" applyFont="1" applyFill="1" applyAlignment="1"/>
    <xf numFmtId="0" fontId="2" fillId="9" borderId="0" xfId="0" applyFont="1" applyFill="1"/>
    <xf numFmtId="0" fontId="5" fillId="9" borderId="0" xfId="0" applyFont="1" applyFill="1"/>
    <xf numFmtId="0" fontId="4" fillId="9" borderId="0" xfId="0" applyFont="1" applyFill="1" applyAlignment="1">
      <alignment vertical="center"/>
    </xf>
    <xf numFmtId="0" fontId="5" fillId="9" borderId="0" xfId="0" applyFont="1" applyFill="1" applyAlignment="1"/>
    <xf numFmtId="0" fontId="0" fillId="9" borderId="0" xfId="0" applyFill="1"/>
    <xf numFmtId="0" fontId="7" fillId="3" borderId="3" xfId="0" applyFont="1" applyFill="1" applyBorder="1" applyAlignment="1">
      <alignment vertical="top" wrapText="1"/>
    </xf>
    <xf numFmtId="167" fontId="7" fillId="3" borderId="4" xfId="1" applyNumberFormat="1" applyFont="1" applyFill="1" applyBorder="1" applyAlignment="1">
      <alignment horizontal="center" vertical="top" wrapText="1"/>
    </xf>
    <xf numFmtId="0" fontId="7" fillId="3" borderId="3" xfId="0" applyFont="1" applyFill="1" applyBorder="1" applyAlignment="1">
      <alignment horizontal="center" vertical="top" wrapText="1"/>
    </xf>
    <xf numFmtId="166" fontId="9" fillId="3" borderId="3" xfId="0" applyNumberFormat="1" applyFont="1" applyFill="1" applyBorder="1" applyAlignment="1">
      <alignment vertical="top" wrapText="1"/>
    </xf>
    <xf numFmtId="0" fontId="0" fillId="9" borderId="0" xfId="0" applyFill="1" applyAlignment="1">
      <alignment vertical="top"/>
    </xf>
    <xf numFmtId="0" fontId="0" fillId="0" borderId="0" xfId="0" applyAlignment="1">
      <alignment vertical="top"/>
    </xf>
    <xf numFmtId="164" fontId="7" fillId="9" borderId="3" xfId="2" applyFont="1" applyFill="1" applyBorder="1" applyAlignment="1">
      <alignment horizontal="center" vertical="top" wrapText="1"/>
    </xf>
    <xf numFmtId="164" fontId="7" fillId="3" borderId="3" xfId="2" applyFont="1" applyFill="1" applyBorder="1" applyAlignment="1">
      <alignment horizontal="center" vertical="top" wrapText="1"/>
    </xf>
    <xf numFmtId="168" fontId="7" fillId="3" borderId="3" xfId="0" applyNumberFormat="1" applyFont="1" applyFill="1" applyBorder="1" applyAlignment="1">
      <alignment horizontal="center" vertical="top" wrapText="1"/>
    </xf>
    <xf numFmtId="166" fontId="7" fillId="3" borderId="3" xfId="0" applyNumberFormat="1" applyFont="1" applyFill="1" applyBorder="1" applyAlignment="1">
      <alignment vertical="top" wrapText="1"/>
    </xf>
    <xf numFmtId="0" fontId="7" fillId="3" borderId="3" xfId="0" applyFont="1" applyFill="1" applyBorder="1" applyAlignment="1">
      <alignment horizontal="left" vertical="top" wrapText="1"/>
    </xf>
    <xf numFmtId="167" fontId="7" fillId="3" borderId="4" xfId="1" applyNumberFormat="1" applyFont="1" applyFill="1" applyBorder="1" applyAlignment="1">
      <alignment vertical="top" wrapText="1"/>
    </xf>
    <xf numFmtId="164" fontId="7" fillId="2" borderId="3" xfId="0" applyNumberFormat="1" applyFont="1" applyFill="1" applyBorder="1" applyAlignment="1">
      <alignment vertical="center" wrapText="1"/>
    </xf>
    <xf numFmtId="164" fontId="7" fillId="3" borderId="3" xfId="2" applyFont="1" applyFill="1" applyBorder="1" applyAlignment="1">
      <alignment vertical="top" wrapText="1"/>
    </xf>
    <xf numFmtId="0" fontId="0" fillId="9" borderId="0" xfId="0" applyFill="1" applyBorder="1"/>
    <xf numFmtId="0" fontId="14" fillId="5" borderId="4" xfId="0" applyFont="1" applyFill="1" applyBorder="1" applyAlignment="1">
      <alignment horizontal="center" vertical="center" wrapText="1"/>
    </xf>
    <xf numFmtId="0" fontId="21" fillId="0" borderId="2" xfId="0" applyFont="1" applyBorder="1" applyAlignment="1">
      <alignment vertical="center"/>
    </xf>
    <xf numFmtId="0" fontId="21" fillId="0" borderId="24" xfId="0" applyFont="1" applyBorder="1" applyAlignment="1">
      <alignment vertical="center"/>
    </xf>
    <xf numFmtId="0" fontId="21" fillId="0" borderId="14" xfId="0" applyFont="1" applyBorder="1" applyAlignment="1">
      <alignment vertical="center"/>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0" fontId="15" fillId="0" borderId="27" xfId="0" applyFont="1" applyBorder="1" applyAlignment="1">
      <alignment horizontal="justify" vertical="center" wrapText="1"/>
    </xf>
    <xf numFmtId="164" fontId="0" fillId="0" borderId="0" xfId="2" applyFont="1"/>
    <xf numFmtId="164" fontId="0" fillId="0" borderId="0" xfId="0" applyNumberFormat="1"/>
    <xf numFmtId="167" fontId="7" fillId="3" borderId="4" xfId="1" applyNumberFormat="1" applyFont="1" applyFill="1" applyBorder="1" applyAlignment="1">
      <alignment horizontal="left" vertical="top" wrapText="1"/>
    </xf>
    <xf numFmtId="0" fontId="7" fillId="3" borderId="3" xfId="0" applyFont="1" applyFill="1" applyBorder="1" applyAlignment="1">
      <alignment vertical="center" wrapText="1"/>
    </xf>
    <xf numFmtId="166" fontId="9" fillId="3" borderId="3" xfId="0" applyNumberFormat="1" applyFont="1" applyFill="1" applyBorder="1" applyAlignment="1">
      <alignment vertical="center" wrapText="1"/>
    </xf>
    <xf numFmtId="0" fontId="9" fillId="3" borderId="3" xfId="0" applyFont="1" applyFill="1" applyBorder="1" applyAlignment="1">
      <alignment vertical="center" wrapText="1"/>
    </xf>
    <xf numFmtId="164" fontId="9" fillId="9" borderId="3" xfId="2"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4" xfId="0" applyFont="1" applyFill="1" applyBorder="1" applyAlignment="1">
      <alignment horizontal="center" vertical="center" wrapText="1"/>
    </xf>
    <xf numFmtId="164" fontId="9" fillId="9" borderId="4" xfId="2" applyFont="1" applyFill="1" applyBorder="1" applyAlignment="1">
      <alignment horizontal="center" vertical="center" wrapText="1"/>
    </xf>
    <xf numFmtId="0" fontId="13" fillId="9" borderId="4" xfId="0" applyFont="1" applyFill="1" applyBorder="1" applyAlignment="1">
      <alignment vertical="top" wrapText="1"/>
    </xf>
    <xf numFmtId="0" fontId="11" fillId="9" borderId="0" xfId="0" applyFont="1" applyFill="1" applyAlignment="1">
      <alignment wrapText="1"/>
    </xf>
    <xf numFmtId="0" fontId="24" fillId="0" borderId="0" xfId="0" applyFont="1" applyAlignment="1">
      <alignment horizontal="center"/>
    </xf>
    <xf numFmtId="0" fontId="25" fillId="0" borderId="0" xfId="0" applyFont="1" applyAlignment="1">
      <alignment horizontal="center"/>
    </xf>
    <xf numFmtId="164" fontId="7" fillId="5" borderId="4" xfId="2" applyFont="1" applyFill="1" applyBorder="1" applyAlignment="1">
      <alignment horizontal="center" vertical="center" wrapText="1"/>
    </xf>
    <xf numFmtId="0" fontId="7" fillId="10" borderId="3" xfId="0" applyFont="1" applyFill="1" applyBorder="1" applyAlignment="1">
      <alignment horizontal="center" vertical="top" wrapText="1"/>
    </xf>
    <xf numFmtId="166" fontId="9" fillId="10" borderId="3" xfId="0" applyNumberFormat="1" applyFont="1" applyFill="1" applyBorder="1" applyAlignment="1">
      <alignment horizontal="center" vertical="top" wrapText="1"/>
    </xf>
    <xf numFmtId="164" fontId="7" fillId="10" borderId="3" xfId="2" applyFont="1" applyFill="1" applyBorder="1" applyAlignment="1">
      <alignment horizontal="left" vertical="top" wrapText="1"/>
    </xf>
    <xf numFmtId="164" fontId="7" fillId="10" borderId="3" xfId="0" applyNumberFormat="1" applyFont="1" applyFill="1" applyBorder="1" applyAlignment="1">
      <alignment vertical="top" wrapText="1"/>
    </xf>
    <xf numFmtId="164" fontId="9" fillId="3" borderId="3" xfId="2" applyFont="1" applyFill="1" applyBorder="1" applyAlignment="1">
      <alignment vertical="top" wrapText="1"/>
    </xf>
    <xf numFmtId="0" fontId="28" fillId="5" borderId="8"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8" fillId="5" borderId="6" xfId="0" applyFont="1" applyFill="1" applyBorder="1" applyAlignment="1">
      <alignment horizontal="center" vertical="center"/>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21" fillId="0" borderId="29" xfId="0" applyFont="1" applyBorder="1" applyAlignment="1">
      <alignment vertical="center"/>
    </xf>
    <xf numFmtId="0" fontId="21" fillId="0" borderId="29" xfId="0" applyFont="1" applyBorder="1" applyAlignment="1">
      <alignment vertical="center" wrapText="1"/>
    </xf>
    <xf numFmtId="0" fontId="0" fillId="11" borderId="30" xfId="0" applyFill="1" applyBorder="1"/>
    <xf numFmtId="0" fontId="0" fillId="11" borderId="0" xfId="0" applyFill="1" applyBorder="1"/>
    <xf numFmtId="0" fontId="5" fillId="11" borderId="30" xfId="0" applyFont="1" applyFill="1" applyBorder="1" applyAlignment="1">
      <alignment vertical="center"/>
    </xf>
    <xf numFmtId="0" fontId="23" fillId="11" borderId="0" xfId="0" applyFont="1" applyFill="1" applyBorder="1"/>
    <xf numFmtId="0" fontId="28" fillId="2" borderId="3" xfId="0" applyFont="1" applyFill="1" applyBorder="1" applyAlignment="1">
      <alignment horizontal="center" vertical="center" wrapText="1"/>
    </xf>
    <xf numFmtId="0" fontId="28" fillId="3" borderId="3" xfId="0" applyFont="1" applyFill="1" applyBorder="1" applyAlignment="1">
      <alignment vertical="top" wrapText="1"/>
    </xf>
    <xf numFmtId="0" fontId="28" fillId="2" borderId="3" xfId="0" applyFont="1" applyFill="1" applyBorder="1" applyAlignment="1">
      <alignment vertical="center" wrapText="1"/>
    </xf>
    <xf numFmtId="0" fontId="11" fillId="0" borderId="0" xfId="0" applyFont="1"/>
    <xf numFmtId="0" fontId="36" fillId="0" borderId="0" xfId="0" applyFont="1" applyAlignment="1">
      <alignment horizontal="center"/>
    </xf>
    <xf numFmtId="0" fontId="36" fillId="0" borderId="0" xfId="0" applyFont="1"/>
    <xf numFmtId="0" fontId="3" fillId="6" borderId="2" xfId="0" applyFont="1" applyFill="1" applyBorder="1" applyAlignment="1">
      <alignment horizontal="center" vertical="center"/>
    </xf>
    <xf numFmtId="0" fontId="37" fillId="6" borderId="2" xfId="0" applyFont="1" applyFill="1" applyBorder="1" applyAlignment="1">
      <alignment horizontal="center"/>
    </xf>
    <xf numFmtId="0" fontId="37" fillId="6" borderId="2" xfId="0" applyFont="1" applyFill="1" applyBorder="1"/>
    <xf numFmtId="164" fontId="31" fillId="3" borderId="3" xfId="2" applyFont="1" applyFill="1" applyBorder="1" applyAlignment="1">
      <alignment horizontal="center" vertical="top" wrapText="1"/>
    </xf>
    <xf numFmtId="164" fontId="31" fillId="5" borderId="16" xfId="2" applyFont="1" applyFill="1" applyBorder="1" applyAlignment="1">
      <alignment vertical="top" wrapText="1"/>
    </xf>
    <xf numFmtId="0" fontId="15" fillId="2" borderId="3" xfId="0" applyFont="1" applyFill="1" applyBorder="1" applyAlignment="1">
      <alignment horizontal="center" vertical="top" wrapText="1"/>
    </xf>
    <xf numFmtId="0" fontId="15" fillId="5" borderId="3" xfId="0" applyFont="1" applyFill="1" applyBorder="1" applyAlignment="1">
      <alignment horizontal="center" vertical="top" wrapText="1"/>
    </xf>
    <xf numFmtId="164" fontId="9" fillId="5" borderId="4" xfId="2" applyFont="1" applyFill="1" applyBorder="1" applyAlignment="1">
      <alignment horizontal="center" vertical="center" wrapText="1"/>
    </xf>
    <xf numFmtId="164" fontId="40" fillId="5" borderId="4" xfId="2" applyFont="1" applyFill="1" applyBorder="1" applyAlignment="1">
      <alignment horizontal="center" vertical="center" wrapText="1"/>
    </xf>
    <xf numFmtId="4" fontId="0" fillId="0" borderId="0" xfId="0" applyNumberFormat="1"/>
    <xf numFmtId="164" fontId="0" fillId="0" borderId="0" xfId="2" applyFont="1" applyAlignment="1">
      <alignment horizontal="center"/>
    </xf>
    <xf numFmtId="0" fontId="41" fillId="5" borderId="4" xfId="0" applyFont="1" applyFill="1" applyBorder="1" applyAlignment="1">
      <alignment horizontal="center" vertical="center" wrapText="1"/>
    </xf>
    <xf numFmtId="164" fontId="41" fillId="5" borderId="4" xfId="2" applyFont="1" applyFill="1" applyBorder="1" applyAlignment="1">
      <alignment horizontal="center" vertical="center" wrapText="1"/>
    </xf>
    <xf numFmtId="44" fontId="41" fillId="5" borderId="4" xfId="0" applyNumberFormat="1" applyFont="1" applyFill="1" applyBorder="1" applyAlignment="1">
      <alignment horizontal="center" vertical="center" wrapText="1"/>
    </xf>
    <xf numFmtId="0" fontId="42" fillId="0" borderId="0" xfId="0" applyFont="1"/>
    <xf numFmtId="164" fontId="40" fillId="5" borderId="4" xfId="2" applyFont="1" applyFill="1" applyBorder="1" applyAlignment="1">
      <alignment horizontal="left" vertical="center" wrapText="1"/>
    </xf>
    <xf numFmtId="164" fontId="40" fillId="5" borderId="4" xfId="0" applyNumberFormat="1" applyFont="1" applyFill="1" applyBorder="1" applyAlignment="1">
      <alignment horizontal="center" vertical="center" wrapText="1"/>
    </xf>
    <xf numFmtId="0" fontId="0" fillId="0" borderId="0" xfId="0" applyFont="1"/>
    <xf numFmtId="0" fontId="43" fillId="0" borderId="34" xfId="0" applyFont="1" applyBorder="1" applyAlignment="1">
      <alignment horizontal="left" vertical="top"/>
    </xf>
    <xf numFmtId="0" fontId="44" fillId="0" borderId="0" xfId="0" applyFont="1" applyAlignment="1">
      <alignment horizontal="left" vertical="top" wrapText="1" readingOrder="1"/>
    </xf>
    <xf numFmtId="0" fontId="45" fillId="0" borderId="0" xfId="0" applyFont="1" applyAlignment="1">
      <alignment horizontal="left" vertical="top" wrapText="1" readingOrder="1"/>
    </xf>
    <xf numFmtId="164" fontId="28" fillId="5" borderId="4" xfId="0" applyNumberFormat="1" applyFont="1" applyFill="1" applyBorder="1" applyAlignment="1">
      <alignment horizontal="center" vertical="center" wrapText="1"/>
    </xf>
    <xf numFmtId="164" fontId="41" fillId="5" borderId="4" xfId="0" applyNumberFormat="1" applyFont="1" applyFill="1" applyBorder="1" applyAlignment="1">
      <alignment horizontal="center" vertical="center" wrapText="1"/>
    </xf>
    <xf numFmtId="43" fontId="9" fillId="5" borderId="4" xfId="0" applyNumberFormat="1" applyFont="1" applyFill="1" applyBorder="1" applyAlignment="1">
      <alignment horizontal="center" vertical="center" wrapText="1"/>
    </xf>
    <xf numFmtId="43" fontId="41" fillId="5" borderId="4" xfId="0" applyNumberFormat="1" applyFont="1" applyFill="1" applyBorder="1" applyAlignment="1">
      <alignment horizontal="center" vertical="center" wrapText="1"/>
    </xf>
    <xf numFmtId="0" fontId="10" fillId="4" borderId="16" xfId="0" applyFont="1" applyFill="1" applyBorder="1" applyAlignment="1">
      <alignment horizontal="center" vertical="center" wrapText="1"/>
    </xf>
    <xf numFmtId="0" fontId="9" fillId="5" borderId="13" xfId="0" applyFont="1" applyFill="1" applyBorder="1" applyAlignment="1">
      <alignment vertical="center" wrapText="1"/>
    </xf>
    <xf numFmtId="0" fontId="9" fillId="5" borderId="9" xfId="0" applyFont="1" applyFill="1" applyBorder="1" applyAlignment="1">
      <alignment vertical="center" wrapText="1"/>
    </xf>
    <xf numFmtId="0" fontId="40" fillId="5" borderId="17" xfId="0" applyFont="1" applyFill="1" applyBorder="1" applyAlignment="1">
      <alignment vertical="center" wrapText="1"/>
    </xf>
    <xf numFmtId="164" fontId="40" fillId="5" borderId="3" xfId="2" applyFont="1" applyFill="1" applyBorder="1" applyAlignment="1">
      <alignment horizontal="center" vertical="center" wrapText="1"/>
    </xf>
    <xf numFmtId="166" fontId="40" fillId="5" borderId="16" xfId="0" applyNumberFormat="1" applyFont="1" applyFill="1" applyBorder="1" applyAlignment="1">
      <alignment vertical="top" wrapText="1"/>
    </xf>
    <xf numFmtId="0" fontId="40" fillId="5" borderId="16" xfId="0" applyFont="1" applyFill="1" applyBorder="1" applyAlignment="1">
      <alignment vertical="top" wrapText="1"/>
    </xf>
    <xf numFmtId="0" fontId="46" fillId="9" borderId="0" xfId="0" applyFont="1" applyFill="1" applyAlignment="1">
      <alignment vertical="top"/>
    </xf>
    <xf numFmtId="0" fontId="46" fillId="0" borderId="0" xfId="0" applyFont="1" applyAlignment="1">
      <alignment vertical="top"/>
    </xf>
    <xf numFmtId="166" fontId="41" fillId="2" borderId="16" xfId="0" applyNumberFormat="1" applyFont="1" applyFill="1" applyBorder="1" applyAlignment="1">
      <alignment vertical="top" wrapText="1"/>
    </xf>
    <xf numFmtId="0" fontId="41" fillId="5" borderId="16" xfId="0" applyFont="1" applyFill="1" applyBorder="1" applyAlignment="1">
      <alignment vertical="top" wrapText="1"/>
    </xf>
    <xf numFmtId="0" fontId="21" fillId="9" borderId="0" xfId="0" applyFont="1" applyFill="1" applyAlignment="1">
      <alignment vertical="top"/>
    </xf>
    <xf numFmtId="0" fontId="21" fillId="0" borderId="0" xfId="0" applyFont="1" applyAlignment="1">
      <alignment vertical="top"/>
    </xf>
    <xf numFmtId="166" fontId="40" fillId="5" borderId="11" xfId="0" applyNumberFormat="1" applyFont="1" applyFill="1" applyBorder="1" applyAlignment="1">
      <alignment vertical="center" wrapText="1"/>
    </xf>
    <xf numFmtId="0" fontId="9" fillId="5" borderId="8" xfId="0" applyFont="1" applyFill="1" applyBorder="1" applyAlignment="1">
      <alignment horizontal="left" vertical="center" wrapText="1"/>
    </xf>
    <xf numFmtId="0" fontId="0" fillId="9" borderId="0" xfId="0" applyFill="1" applyAlignment="1">
      <alignment horizontal="left" vertical="center"/>
    </xf>
    <xf numFmtId="0" fontId="0" fillId="0" borderId="0" xfId="0" applyAlignment="1">
      <alignment horizontal="left" vertical="center"/>
    </xf>
    <xf numFmtId="169" fontId="41" fillId="5" borderId="4" xfId="0" applyNumberFormat="1" applyFont="1" applyFill="1" applyBorder="1" applyAlignment="1">
      <alignment horizontal="center" vertical="center" wrapText="1"/>
    </xf>
    <xf numFmtId="169" fontId="14" fillId="5" borderId="4" xfId="0" applyNumberFormat="1" applyFont="1" applyFill="1" applyBorder="1" applyAlignment="1">
      <alignment horizontal="center" vertical="center" wrapText="1"/>
    </xf>
    <xf numFmtId="169" fontId="7" fillId="3" borderId="4" xfId="2" applyNumberFormat="1" applyFont="1" applyFill="1" applyBorder="1" applyAlignment="1">
      <alignment horizontal="center" vertical="top" wrapText="1"/>
    </xf>
    <xf numFmtId="169" fontId="7" fillId="3" borderId="3" xfId="2" applyNumberFormat="1" applyFont="1" applyFill="1" applyBorder="1" applyAlignment="1">
      <alignment horizontal="center" vertical="top" wrapText="1"/>
    </xf>
    <xf numFmtId="169" fontId="28" fillId="5" borderId="4" xfId="0" applyNumberFormat="1" applyFont="1" applyFill="1" applyBorder="1" applyAlignment="1">
      <alignment horizontal="center" vertical="center" wrapText="1"/>
    </xf>
    <xf numFmtId="169" fontId="9" fillId="5" borderId="4" xfId="0" applyNumberFormat="1" applyFont="1" applyFill="1" applyBorder="1" applyAlignment="1">
      <alignment horizontal="center" vertical="center" wrapText="1"/>
    </xf>
    <xf numFmtId="169" fontId="40" fillId="5" borderId="4" xfId="0" applyNumberFormat="1" applyFont="1" applyFill="1" applyBorder="1" applyAlignment="1">
      <alignment horizontal="center" vertical="center" wrapText="1"/>
    </xf>
    <xf numFmtId="169" fontId="7" fillId="3" borderId="3" xfId="0" applyNumberFormat="1" applyFont="1" applyFill="1" applyBorder="1" applyAlignment="1">
      <alignment vertical="top" wrapText="1"/>
    </xf>
    <xf numFmtId="0" fontId="0" fillId="0" borderId="0" xfId="0" quotePrefix="1"/>
    <xf numFmtId="166" fontId="48" fillId="2" borderId="3" xfId="0" applyNumberFormat="1" applyFont="1" applyFill="1" applyBorder="1" applyAlignment="1">
      <alignment horizontal="center" vertical="top" wrapText="1"/>
    </xf>
    <xf numFmtId="9" fontId="7" fillId="9" borderId="3" xfId="1" applyFont="1" applyFill="1" applyBorder="1" applyAlignment="1">
      <alignment horizontal="center" vertical="top" wrapText="1"/>
    </xf>
    <xf numFmtId="9" fontId="0" fillId="9" borderId="0" xfId="1" applyFont="1" applyFill="1" applyAlignment="1">
      <alignment vertical="top"/>
    </xf>
    <xf numFmtId="9" fontId="7" fillId="9" borderId="0" xfId="1" applyFont="1" applyFill="1" applyBorder="1" applyAlignment="1">
      <alignment horizontal="center" vertical="center" wrapText="1"/>
    </xf>
    <xf numFmtId="164" fontId="0" fillId="9" borderId="0" xfId="2" applyFont="1" applyFill="1" applyAlignment="1">
      <alignment horizontal="center" vertical="center"/>
    </xf>
    <xf numFmtId="164" fontId="7" fillId="9" borderId="3" xfId="2" applyFont="1" applyFill="1" applyBorder="1" applyAlignment="1">
      <alignment horizontal="center" vertical="center" wrapText="1"/>
    </xf>
    <xf numFmtId="164" fontId="0" fillId="0" borderId="0" xfId="2" applyFont="1" applyAlignment="1">
      <alignment horizontal="center" vertical="center"/>
    </xf>
    <xf numFmtId="0" fontId="28" fillId="14" borderId="3" xfId="0" applyFont="1" applyFill="1" applyBorder="1" applyAlignment="1">
      <alignment vertical="top" wrapText="1"/>
    </xf>
    <xf numFmtId="0" fontId="9" fillId="5" borderId="36" xfId="0" applyFont="1" applyFill="1" applyBorder="1" applyAlignment="1">
      <alignment horizontal="center" vertical="center" wrapText="1"/>
    </xf>
    <xf numFmtId="164" fontId="28" fillId="5" borderId="4" xfId="2" applyFont="1" applyFill="1" applyBorder="1" applyAlignment="1">
      <alignment horizontal="center" vertical="center" wrapText="1"/>
    </xf>
    <xf numFmtId="169" fontId="28" fillId="5" borderId="4" xfId="2" applyNumberFormat="1" applyFont="1" applyFill="1" applyBorder="1" applyAlignment="1">
      <alignment horizontal="center" vertical="center" wrapText="1"/>
    </xf>
    <xf numFmtId="169" fontId="7" fillId="3" borderId="4" xfId="2" applyNumberFormat="1" applyFont="1" applyFill="1" applyBorder="1" applyAlignment="1">
      <alignment horizontal="center" vertical="center" wrapText="1"/>
    </xf>
    <xf numFmtId="167" fontId="7" fillId="3" borderId="4" xfId="1" applyNumberFormat="1" applyFont="1" applyFill="1" applyBorder="1" applyAlignment="1">
      <alignment horizontal="center" vertical="center" wrapText="1"/>
    </xf>
    <xf numFmtId="4" fontId="49" fillId="0" borderId="0" xfId="0" applyNumberFormat="1" applyFont="1"/>
    <xf numFmtId="164" fontId="40" fillId="5" borderId="16" xfId="2" applyFont="1" applyFill="1" applyBorder="1" applyAlignment="1">
      <alignment vertical="top" wrapText="1"/>
    </xf>
    <xf numFmtId="164" fontId="41" fillId="2" borderId="16" xfId="2" applyFont="1" applyFill="1" applyBorder="1" applyAlignment="1">
      <alignment vertical="top" wrapText="1"/>
    </xf>
    <xf numFmtId="0" fontId="0" fillId="0" borderId="0" xfId="0" applyAlignment="1">
      <alignment horizontal="center" vertical="center"/>
    </xf>
    <xf numFmtId="43" fontId="0" fillId="0" borderId="0" xfId="0" applyNumberFormat="1" applyAlignment="1">
      <alignment horizontal="center" vertical="center"/>
    </xf>
    <xf numFmtId="0" fontId="2"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11" fillId="0" borderId="0" xfId="0" applyFont="1" applyAlignment="1">
      <alignment horizontal="center"/>
    </xf>
    <xf numFmtId="43" fontId="11" fillId="0" borderId="0" xfId="0" applyNumberFormat="1" applyFont="1" applyAlignment="1">
      <alignment horizontal="center"/>
    </xf>
    <xf numFmtId="170" fontId="0" fillId="0" borderId="0" xfId="0" applyNumberFormat="1" applyAlignment="1">
      <alignment horizontal="center"/>
    </xf>
    <xf numFmtId="0" fontId="42" fillId="0" borderId="0" xfId="0" applyFont="1" applyAlignment="1">
      <alignment horizontal="center"/>
    </xf>
    <xf numFmtId="0" fontId="0" fillId="0" borderId="0" xfId="0" applyFont="1" applyAlignment="1">
      <alignment horizontal="center"/>
    </xf>
    <xf numFmtId="0" fontId="0" fillId="0" borderId="0" xfId="0" applyAlignment="1">
      <alignment horizontal="center" wrapText="1"/>
    </xf>
    <xf numFmtId="0" fontId="46" fillId="0" borderId="0" xfId="0" applyFont="1" applyAlignment="1">
      <alignment horizontal="center" wrapText="1"/>
    </xf>
    <xf numFmtId="0" fontId="46" fillId="0" borderId="0" xfId="0" applyFont="1" applyAlignment="1">
      <alignment horizontal="center"/>
    </xf>
    <xf numFmtId="44" fontId="0" fillId="0" borderId="0" xfId="0" applyNumberFormat="1"/>
    <xf numFmtId="164" fontId="0" fillId="5" borderId="0" xfId="0" applyNumberFormat="1" applyFill="1"/>
    <xf numFmtId="4" fontId="0" fillId="0" borderId="0" xfId="0" applyNumberFormat="1" applyAlignment="1">
      <alignment horizontal="center" wrapText="1"/>
    </xf>
    <xf numFmtId="44" fontId="0" fillId="0" borderId="0" xfId="0" applyNumberFormat="1" applyAlignment="1">
      <alignment vertical="top"/>
    </xf>
    <xf numFmtId="171" fontId="0" fillId="0" borderId="0" xfId="0" applyNumberFormat="1"/>
    <xf numFmtId="0" fontId="9" fillId="5" borderId="15" xfId="0" applyFont="1" applyFill="1" applyBorder="1" applyAlignment="1">
      <alignment vertical="center" wrapText="1"/>
    </xf>
    <xf numFmtId="0" fontId="9" fillId="5" borderId="16" xfId="0" applyFont="1" applyFill="1" applyBorder="1" applyAlignment="1">
      <alignment vertical="center" wrapText="1"/>
    </xf>
    <xf numFmtId="164" fontId="28" fillId="2" borderId="3" xfId="0" applyNumberFormat="1" applyFont="1" applyFill="1" applyBorder="1" applyAlignment="1">
      <alignment vertical="center" wrapText="1"/>
    </xf>
    <xf numFmtId="0" fontId="33" fillId="15" borderId="1" xfId="0" applyFont="1" applyFill="1" applyBorder="1" applyAlignment="1">
      <alignment vertical="center"/>
    </xf>
    <xf numFmtId="0" fontId="33" fillId="15" borderId="2" xfId="0" applyFont="1" applyFill="1" applyBorder="1" applyAlignment="1">
      <alignment vertical="center"/>
    </xf>
    <xf numFmtId="164" fontId="1" fillId="0" borderId="0" xfId="2" applyFont="1" applyAlignment="1">
      <alignment horizontal="center"/>
    </xf>
    <xf numFmtId="164" fontId="36" fillId="0" borderId="0" xfId="2" applyFont="1" applyAlignment="1">
      <alignment horizontal="center"/>
    </xf>
    <xf numFmtId="164" fontId="37" fillId="6" borderId="2" xfId="2" applyFont="1" applyFill="1" applyBorder="1" applyAlignment="1">
      <alignment horizontal="center"/>
    </xf>
    <xf numFmtId="164" fontId="28" fillId="5" borderId="6" xfId="2" applyFont="1" applyFill="1" applyBorder="1" applyAlignment="1">
      <alignment horizontal="center" vertical="center" wrapText="1"/>
    </xf>
    <xf numFmtId="164" fontId="7" fillId="2" borderId="3" xfId="2" applyFont="1" applyFill="1" applyBorder="1" applyAlignment="1">
      <alignment vertical="center" wrapText="1"/>
    </xf>
    <xf numFmtId="0" fontId="0" fillId="7" borderId="0" xfId="0" applyFill="1" applyAlignment="1">
      <alignment vertical="top"/>
    </xf>
    <xf numFmtId="0" fontId="1" fillId="9" borderId="0" xfId="0" applyFont="1" applyFill="1"/>
    <xf numFmtId="0" fontId="0" fillId="9" borderId="0" xfId="0" applyFill="1" applyAlignment="1">
      <alignment wrapText="1"/>
    </xf>
    <xf numFmtId="0" fontId="0" fillId="9" borderId="0" xfId="0" applyFill="1" applyAlignment="1">
      <alignment horizontal="center"/>
    </xf>
    <xf numFmtId="0" fontId="28" fillId="9" borderId="3" xfId="0" applyFont="1" applyFill="1" applyBorder="1" applyAlignment="1">
      <alignment vertical="top" wrapText="1"/>
    </xf>
    <xf numFmtId="0" fontId="28" fillId="9" borderId="3" xfId="0" applyFont="1" applyFill="1" applyBorder="1" applyAlignment="1">
      <alignment horizontal="justify" vertical="top" wrapText="1"/>
    </xf>
    <xf numFmtId="0" fontId="28" fillId="9" borderId="4" xfId="0" applyFont="1" applyFill="1" applyBorder="1" applyAlignment="1">
      <alignment horizontal="justify" vertical="top" wrapText="1"/>
    </xf>
    <xf numFmtId="0" fontId="28" fillId="9" borderId="4" xfId="0" applyFont="1" applyFill="1" applyBorder="1" applyAlignment="1">
      <alignment horizontal="center" vertical="top" wrapText="1"/>
    </xf>
    <xf numFmtId="3" fontId="28" fillId="9" borderId="4" xfId="0" applyNumberFormat="1" applyFont="1" applyFill="1" applyBorder="1" applyAlignment="1">
      <alignment horizontal="center" vertical="top" wrapText="1"/>
    </xf>
    <xf numFmtId="167" fontId="28" fillId="9" borderId="4" xfId="1" applyNumberFormat="1" applyFont="1" applyFill="1" applyBorder="1" applyAlignment="1">
      <alignment horizontal="center" vertical="top" wrapText="1"/>
    </xf>
    <xf numFmtId="9" fontId="28" fillId="9" borderId="3" xfId="0" applyNumberFormat="1" applyFont="1" applyFill="1" applyBorder="1" applyAlignment="1">
      <alignment horizontal="center" vertical="top" wrapText="1"/>
    </xf>
    <xf numFmtId="0" fontId="28" fillId="9" borderId="3" xfId="0" applyFont="1" applyFill="1" applyBorder="1" applyAlignment="1">
      <alignment horizontal="center" vertical="top" wrapText="1"/>
    </xf>
    <xf numFmtId="9" fontId="28" fillId="9" borderId="3" xfId="1" applyFont="1" applyFill="1" applyBorder="1" applyAlignment="1">
      <alignment horizontal="center" vertical="top" wrapText="1"/>
    </xf>
    <xf numFmtId="0" fontId="7" fillId="9" borderId="3" xfId="0" applyFont="1" applyFill="1" applyBorder="1" applyAlignment="1">
      <alignment horizontal="center" vertical="top" wrapText="1"/>
    </xf>
    <xf numFmtId="3" fontId="7" fillId="9" borderId="3" xfId="0" applyNumberFormat="1" applyFont="1" applyFill="1" applyBorder="1" applyAlignment="1">
      <alignment horizontal="center" vertical="top" wrapText="1"/>
    </xf>
    <xf numFmtId="167" fontId="7" fillId="9" borderId="4" xfId="1" applyNumberFormat="1" applyFont="1" applyFill="1" applyBorder="1" applyAlignment="1">
      <alignment horizontal="center" vertical="top" wrapText="1"/>
    </xf>
    <xf numFmtId="9" fontId="7" fillId="9" borderId="6" xfId="0" applyNumberFormat="1" applyFont="1" applyFill="1" applyBorder="1" applyAlignment="1">
      <alignment horizontal="center" vertical="top" wrapText="1"/>
    </xf>
    <xf numFmtId="10" fontId="7" fillId="9" borderId="4" xfId="1" applyNumberFormat="1" applyFont="1" applyFill="1" applyBorder="1" applyAlignment="1">
      <alignment horizontal="center" vertical="top" wrapText="1"/>
    </xf>
    <xf numFmtId="164" fontId="7" fillId="9" borderId="4" xfId="2" applyFont="1" applyFill="1" applyBorder="1" applyAlignment="1">
      <alignment horizontal="center" vertical="top" wrapText="1"/>
    </xf>
    <xf numFmtId="169" fontId="7" fillId="9" borderId="4" xfId="2" applyNumberFormat="1" applyFont="1" applyFill="1" applyBorder="1" applyAlignment="1">
      <alignment horizontal="center" vertical="top" wrapText="1"/>
    </xf>
    <xf numFmtId="169" fontId="7" fillId="9" borderId="3" xfId="2" applyNumberFormat="1" applyFont="1" applyFill="1" applyBorder="1" applyAlignment="1">
      <alignment vertical="top" wrapText="1"/>
    </xf>
    <xf numFmtId="0" fontId="7" fillId="9" borderId="3" xfId="0" applyFont="1" applyFill="1" applyBorder="1" applyAlignment="1">
      <alignment vertical="top" wrapText="1"/>
    </xf>
    <xf numFmtId="164" fontId="7" fillId="9" borderId="3" xfId="2" applyFont="1" applyFill="1" applyBorder="1" applyAlignment="1">
      <alignment vertical="top" wrapText="1"/>
    </xf>
    <xf numFmtId="9" fontId="7" fillId="9" borderId="3" xfId="0" applyNumberFormat="1" applyFont="1" applyFill="1" applyBorder="1" applyAlignment="1">
      <alignment vertical="top" wrapText="1"/>
    </xf>
    <xf numFmtId="169" fontId="7" fillId="9" borderId="3" xfId="0" applyNumberFormat="1" applyFont="1" applyFill="1" applyBorder="1" applyAlignment="1">
      <alignment vertical="top" wrapText="1"/>
    </xf>
    <xf numFmtId="9" fontId="28" fillId="9" borderId="3" xfId="0" applyNumberFormat="1" applyFont="1" applyFill="1" applyBorder="1" applyAlignment="1">
      <alignment vertical="top" wrapText="1"/>
    </xf>
    <xf numFmtId="169" fontId="7" fillId="9" borderId="3" xfId="2" applyNumberFormat="1" applyFont="1" applyFill="1" applyBorder="1" applyAlignment="1">
      <alignment horizontal="center" vertical="top" wrapText="1"/>
    </xf>
    <xf numFmtId="0" fontId="28" fillId="16" borderId="3" xfId="0" applyFont="1" applyFill="1" applyBorder="1" applyAlignment="1">
      <alignment vertical="top" wrapText="1"/>
    </xf>
    <xf numFmtId="0" fontId="28" fillId="16" borderId="3" xfId="0" applyFont="1" applyFill="1" applyBorder="1" applyAlignment="1">
      <alignment horizontal="justify" vertical="top" wrapText="1"/>
    </xf>
    <xf numFmtId="0" fontId="28" fillId="16" borderId="4" xfId="0" applyFont="1" applyFill="1" applyBorder="1" applyAlignment="1">
      <alignment horizontal="justify" vertical="top" wrapText="1"/>
    </xf>
    <xf numFmtId="0" fontId="28" fillId="16" borderId="4" xfId="0" applyFont="1" applyFill="1" applyBorder="1" applyAlignment="1">
      <alignment horizontal="center" vertical="top" wrapText="1"/>
    </xf>
    <xf numFmtId="3" fontId="28" fillId="16" borderId="4" xfId="0" applyNumberFormat="1" applyFont="1" applyFill="1" applyBorder="1" applyAlignment="1">
      <alignment horizontal="center" vertical="top" wrapText="1"/>
    </xf>
    <xf numFmtId="167" fontId="28" fillId="16" borderId="4" xfId="1" applyNumberFormat="1" applyFont="1" applyFill="1" applyBorder="1" applyAlignment="1">
      <alignment horizontal="center" vertical="top" wrapText="1"/>
    </xf>
    <xf numFmtId="0" fontId="28" fillId="16" borderId="3" xfId="0" applyFont="1" applyFill="1" applyBorder="1" applyAlignment="1">
      <alignment horizontal="center" vertical="top" wrapText="1"/>
    </xf>
    <xf numFmtId="0" fontId="7" fillId="16" borderId="3" xfId="0" applyFont="1" applyFill="1" applyBorder="1" applyAlignment="1">
      <alignment horizontal="center" vertical="top" wrapText="1"/>
    </xf>
    <xf numFmtId="164" fontId="7" fillId="16" borderId="3" xfId="2" applyFont="1" applyFill="1" applyBorder="1" applyAlignment="1">
      <alignment horizontal="center" vertical="top" wrapText="1"/>
    </xf>
    <xf numFmtId="3" fontId="7" fillId="16" borderId="3" xfId="0" applyNumberFormat="1" applyFont="1" applyFill="1" applyBorder="1" applyAlignment="1">
      <alignment horizontal="center" vertical="top" wrapText="1"/>
    </xf>
    <xf numFmtId="167" fontId="7" fillId="16" borderId="4" xfId="1" applyNumberFormat="1" applyFont="1" applyFill="1" applyBorder="1" applyAlignment="1">
      <alignment horizontal="center" vertical="top" wrapText="1"/>
    </xf>
    <xf numFmtId="0" fontId="7" fillId="16" borderId="6" xfId="0" applyFont="1" applyFill="1" applyBorder="1" applyAlignment="1">
      <alignment horizontal="center" vertical="top" wrapText="1"/>
    </xf>
    <xf numFmtId="10" fontId="7" fillId="16" borderId="4" xfId="1" applyNumberFormat="1" applyFont="1" applyFill="1" applyBorder="1" applyAlignment="1">
      <alignment horizontal="center" vertical="top" wrapText="1"/>
    </xf>
    <xf numFmtId="164" fontId="7" fillId="16" borderId="4" xfId="2" applyFont="1" applyFill="1" applyBorder="1" applyAlignment="1">
      <alignment horizontal="center" vertical="top" wrapText="1"/>
    </xf>
    <xf numFmtId="169" fontId="7" fillId="16" borderId="4" xfId="2" applyNumberFormat="1" applyFont="1" applyFill="1" applyBorder="1" applyAlignment="1">
      <alignment horizontal="center" vertical="top" wrapText="1"/>
    </xf>
    <xf numFmtId="169" fontId="7" fillId="16" borderId="3" xfId="0" applyNumberFormat="1" applyFont="1" applyFill="1" applyBorder="1" applyAlignment="1">
      <alignment vertical="top" wrapText="1"/>
    </xf>
    <xf numFmtId="0" fontId="7" fillId="16" borderId="3" xfId="0" applyFont="1" applyFill="1" applyBorder="1" applyAlignment="1">
      <alignment vertical="top" wrapText="1"/>
    </xf>
    <xf numFmtId="167" fontId="28" fillId="9" borderId="4" xfId="1" applyNumberFormat="1" applyFont="1" applyFill="1" applyBorder="1" applyAlignment="1">
      <alignment horizontal="left" vertical="top" wrapText="1"/>
    </xf>
    <xf numFmtId="9" fontId="28" fillId="9" borderId="4" xfId="3" applyNumberFormat="1" applyFont="1" applyFill="1" applyBorder="1" applyAlignment="1">
      <alignment horizontal="center" vertical="top" wrapText="1"/>
    </xf>
    <xf numFmtId="169" fontId="7" fillId="9" borderId="4" xfId="1" applyNumberFormat="1" applyFont="1" applyFill="1" applyBorder="1" applyAlignment="1">
      <alignment horizontal="center" vertical="top" wrapText="1"/>
    </xf>
    <xf numFmtId="0" fontId="0" fillId="9" borderId="0" xfId="0" applyFill="1" applyAlignment="1">
      <alignment horizontal="center" wrapText="1"/>
    </xf>
    <xf numFmtId="164" fontId="7" fillId="9" borderId="6" xfId="2" applyFont="1" applyFill="1" applyBorder="1" applyAlignment="1">
      <alignment horizontal="center" vertical="top" wrapText="1"/>
    </xf>
    <xf numFmtId="10" fontId="7" fillId="9" borderId="3" xfId="0" applyNumberFormat="1" applyFont="1" applyFill="1" applyBorder="1" applyAlignment="1">
      <alignment horizontal="center" vertical="top" wrapText="1"/>
    </xf>
    <xf numFmtId="10" fontId="7" fillId="9" borderId="6" xfId="0" applyNumberFormat="1" applyFont="1" applyFill="1" applyBorder="1" applyAlignment="1">
      <alignment horizontal="center" vertical="top" wrapText="1"/>
    </xf>
    <xf numFmtId="165" fontId="0" fillId="9" borderId="0" xfId="3" applyFont="1" applyFill="1" applyAlignment="1">
      <alignment horizontal="center"/>
    </xf>
    <xf numFmtId="0" fontId="31" fillId="9" borderId="3" xfId="0" applyFont="1" applyFill="1" applyBorder="1" applyAlignment="1">
      <alignment vertical="top" wrapText="1"/>
    </xf>
    <xf numFmtId="0" fontId="31" fillId="9" borderId="3" xfId="0" applyFont="1" applyFill="1" applyBorder="1" applyAlignment="1">
      <alignment horizontal="justify" vertical="top" wrapText="1"/>
    </xf>
    <xf numFmtId="0" fontId="31" fillId="9" borderId="4" xfId="0" applyFont="1" applyFill="1" applyBorder="1" applyAlignment="1">
      <alignment horizontal="justify" vertical="top" wrapText="1"/>
    </xf>
    <xf numFmtId="0" fontId="31" fillId="9" borderId="4" xfId="0" applyFont="1" applyFill="1" applyBorder="1" applyAlignment="1">
      <alignment horizontal="center" vertical="top" wrapText="1"/>
    </xf>
    <xf numFmtId="3" fontId="31" fillId="9" borderId="4" xfId="0" applyNumberFormat="1" applyFont="1" applyFill="1" applyBorder="1" applyAlignment="1">
      <alignment horizontal="center" vertical="top" wrapText="1"/>
    </xf>
    <xf numFmtId="167" fontId="31" fillId="9" borderId="4" xfId="1" applyNumberFormat="1" applyFont="1" applyFill="1" applyBorder="1" applyAlignment="1">
      <alignment horizontal="center" vertical="top" wrapText="1"/>
    </xf>
    <xf numFmtId="9" fontId="31" fillId="9" borderId="3" xfId="0" applyNumberFormat="1" applyFont="1" applyFill="1" applyBorder="1" applyAlignment="1">
      <alignment horizontal="center" vertical="top" wrapText="1"/>
    </xf>
    <xf numFmtId="0" fontId="31" fillId="9" borderId="3" xfId="0" applyFont="1" applyFill="1" applyBorder="1" applyAlignment="1">
      <alignment horizontal="center" vertical="top" wrapText="1"/>
    </xf>
    <xf numFmtId="164" fontId="31" fillId="9" borderId="3" xfId="2" applyFont="1" applyFill="1" applyBorder="1" applyAlignment="1">
      <alignment vertical="top" wrapText="1"/>
    </xf>
    <xf numFmtId="166" fontId="31" fillId="9" borderId="3" xfId="0" applyNumberFormat="1" applyFont="1" applyFill="1" applyBorder="1" applyAlignment="1">
      <alignment vertical="top" wrapText="1"/>
    </xf>
    <xf numFmtId="0" fontId="50" fillId="9" borderId="0" xfId="12" applyFill="1" applyAlignment="1">
      <alignment vertical="top" wrapText="1"/>
    </xf>
    <xf numFmtId="164" fontId="0" fillId="9" borderId="0" xfId="2" applyFont="1" applyFill="1" applyAlignment="1">
      <alignment vertical="top"/>
    </xf>
    <xf numFmtId="171" fontId="0" fillId="9" borderId="0" xfId="0" applyNumberFormat="1" applyFill="1" applyAlignment="1">
      <alignment vertical="top"/>
    </xf>
    <xf numFmtId="9" fontId="31" fillId="9" borderId="3" xfId="1" applyFont="1" applyFill="1" applyBorder="1" applyAlignment="1">
      <alignment horizontal="center" vertical="top" wrapText="1"/>
    </xf>
    <xf numFmtId="10" fontId="31" fillId="9" borderId="3" xfId="1" applyNumberFormat="1" applyFont="1" applyFill="1" applyBorder="1" applyAlignment="1">
      <alignment horizontal="center" vertical="top" wrapText="1"/>
    </xf>
    <xf numFmtId="165" fontId="31" fillId="9" borderId="3" xfId="3" applyFont="1" applyFill="1" applyBorder="1" applyAlignment="1">
      <alignment horizontal="center" vertical="top" wrapText="1"/>
    </xf>
    <xf numFmtId="44" fontId="0" fillId="9" borderId="0" xfId="0" applyNumberFormat="1" applyFill="1" applyAlignment="1">
      <alignment vertical="top"/>
    </xf>
    <xf numFmtId="0" fontId="32" fillId="9" borderId="3" xfId="0" applyFont="1" applyFill="1" applyBorder="1" applyAlignment="1">
      <alignment vertical="top" wrapText="1"/>
    </xf>
    <xf numFmtId="0" fontId="32" fillId="9" borderId="3" xfId="0" applyFont="1" applyFill="1" applyBorder="1" applyAlignment="1">
      <alignment horizontal="justify" vertical="top" wrapText="1"/>
    </xf>
    <xf numFmtId="0" fontId="32" fillId="9" borderId="4" xfId="0" applyFont="1" applyFill="1" applyBorder="1" applyAlignment="1">
      <alignment horizontal="justify" vertical="top" wrapText="1"/>
    </xf>
    <xf numFmtId="0" fontId="32" fillId="9" borderId="4" xfId="0" applyFont="1" applyFill="1" applyBorder="1" applyAlignment="1">
      <alignment horizontal="center" vertical="top" wrapText="1"/>
    </xf>
    <xf numFmtId="3" fontId="32" fillId="9" borderId="4" xfId="0" applyNumberFormat="1" applyFont="1" applyFill="1" applyBorder="1" applyAlignment="1">
      <alignment horizontal="center" vertical="top" wrapText="1"/>
    </xf>
    <xf numFmtId="167" fontId="32" fillId="9" borderId="4" xfId="1" applyNumberFormat="1" applyFont="1" applyFill="1" applyBorder="1" applyAlignment="1">
      <alignment horizontal="center" vertical="top" wrapText="1"/>
    </xf>
    <xf numFmtId="0" fontId="32" fillId="9" borderId="3" xfId="0" applyFont="1" applyFill="1" applyBorder="1" applyAlignment="1">
      <alignment horizontal="center" vertical="top" wrapText="1"/>
    </xf>
    <xf numFmtId="164" fontId="32" fillId="9" borderId="3" xfId="2" applyFont="1" applyFill="1" applyBorder="1" applyAlignment="1">
      <alignment vertical="top" wrapText="1"/>
    </xf>
    <xf numFmtId="166" fontId="32" fillId="9" borderId="3" xfId="0" applyNumberFormat="1" applyFont="1" applyFill="1" applyBorder="1" applyAlignment="1">
      <alignment vertical="top" wrapText="1"/>
    </xf>
    <xf numFmtId="0" fontId="31" fillId="16" borderId="3" xfId="0" applyFont="1" applyFill="1" applyBorder="1" applyAlignment="1">
      <alignment vertical="top" wrapText="1"/>
    </xf>
    <xf numFmtId="0" fontId="31" fillId="16" borderId="3" xfId="0" applyFont="1" applyFill="1" applyBorder="1" applyAlignment="1">
      <alignment horizontal="justify" vertical="top" wrapText="1"/>
    </xf>
    <xf numFmtId="0" fontId="31" fillId="16" borderId="4" xfId="0" applyFont="1" applyFill="1" applyBorder="1" applyAlignment="1">
      <alignment horizontal="justify" vertical="top" wrapText="1"/>
    </xf>
    <xf numFmtId="0" fontId="31" fillId="16" borderId="4" xfId="0" applyFont="1" applyFill="1" applyBorder="1" applyAlignment="1">
      <alignment horizontal="center" vertical="top" wrapText="1"/>
    </xf>
    <xf numFmtId="3" fontId="31" fillId="16" borderId="4" xfId="0" applyNumberFormat="1" applyFont="1" applyFill="1" applyBorder="1" applyAlignment="1">
      <alignment horizontal="center" vertical="top" wrapText="1"/>
    </xf>
    <xf numFmtId="167" fontId="31" fillId="16" borderId="4" xfId="1" applyNumberFormat="1" applyFont="1" applyFill="1" applyBorder="1" applyAlignment="1">
      <alignment horizontal="center" vertical="top" wrapText="1"/>
    </xf>
    <xf numFmtId="0" fontId="31" fillId="16" borderId="3" xfId="0" applyFont="1" applyFill="1" applyBorder="1" applyAlignment="1">
      <alignment horizontal="center" vertical="top" wrapText="1"/>
    </xf>
    <xf numFmtId="9" fontId="31" fillId="16" borderId="3" xfId="0" applyNumberFormat="1" applyFont="1" applyFill="1" applyBorder="1" applyAlignment="1">
      <alignment horizontal="center" vertical="top" wrapText="1"/>
    </xf>
    <xf numFmtId="164" fontId="31" fillId="16" borderId="3" xfId="2" applyFont="1" applyFill="1" applyBorder="1" applyAlignment="1">
      <alignment vertical="top" wrapText="1"/>
    </xf>
    <xf numFmtId="166" fontId="31" fillId="16" borderId="3" xfId="0" applyNumberFormat="1" applyFont="1" applyFill="1" applyBorder="1" applyAlignment="1">
      <alignment vertical="top" wrapText="1"/>
    </xf>
    <xf numFmtId="10" fontId="31" fillId="9" borderId="3" xfId="0" applyNumberFormat="1" applyFont="1" applyFill="1" applyBorder="1" applyAlignment="1">
      <alignment horizontal="center" vertical="top" wrapText="1"/>
    </xf>
    <xf numFmtId="164" fontId="31" fillId="9" borderId="3" xfId="2" applyFont="1" applyFill="1" applyBorder="1" applyAlignment="1">
      <alignment horizontal="center" vertical="top" wrapText="1"/>
    </xf>
    <xf numFmtId="9" fontId="31" fillId="16" borderId="3" xfId="1" applyFont="1" applyFill="1" applyBorder="1" applyAlignment="1">
      <alignment horizontal="center" vertical="top" wrapText="1"/>
    </xf>
    <xf numFmtId="10" fontId="31" fillId="16" borderId="3" xfId="0" applyNumberFormat="1" applyFont="1" applyFill="1" applyBorder="1" applyAlignment="1">
      <alignment horizontal="center" vertical="top" wrapText="1"/>
    </xf>
    <xf numFmtId="164" fontId="31" fillId="16" borderId="3" xfId="2" applyFont="1" applyFill="1" applyBorder="1" applyAlignment="1">
      <alignment horizontal="center" vertical="top" wrapText="1"/>
    </xf>
    <xf numFmtId="168" fontId="31" fillId="16" borderId="3" xfId="0" applyNumberFormat="1" applyFont="1" applyFill="1" applyBorder="1" applyAlignment="1">
      <alignment horizontal="center" vertical="top" wrapText="1"/>
    </xf>
    <xf numFmtId="166" fontId="31" fillId="9" borderId="3" xfId="0" applyNumberFormat="1" applyFont="1" applyFill="1" applyBorder="1" applyAlignment="1">
      <alignment horizontal="center" vertical="top" wrapText="1"/>
    </xf>
    <xf numFmtId="0" fontId="31" fillId="9" borderId="3" xfId="0" applyFont="1" applyFill="1" applyBorder="1" applyAlignment="1">
      <alignment horizontal="left" vertical="top" wrapText="1"/>
    </xf>
    <xf numFmtId="164" fontId="31" fillId="9" borderId="3" xfId="2" applyFont="1" applyFill="1" applyBorder="1" applyAlignment="1">
      <alignment horizontal="left" vertical="top" wrapText="1"/>
    </xf>
    <xf numFmtId="164" fontId="30" fillId="5" borderId="16" xfId="2" applyFont="1" applyFill="1" applyBorder="1" applyAlignment="1">
      <alignment vertical="top" wrapText="1"/>
    </xf>
    <xf numFmtId="0" fontId="30" fillId="5" borderId="16" xfId="0" applyFont="1" applyFill="1" applyBorder="1" applyAlignment="1">
      <alignment vertical="top" wrapText="1"/>
    </xf>
    <xf numFmtId="0" fontId="7" fillId="17" borderId="3" xfId="0" applyFont="1" applyFill="1" applyBorder="1" applyAlignment="1">
      <alignment vertical="top" wrapText="1"/>
    </xf>
    <xf numFmtId="0" fontId="0" fillId="17" borderId="0" xfId="0" applyFill="1"/>
    <xf numFmtId="0" fontId="7" fillId="17" borderId="3" xfId="0" applyNumberFormat="1" applyFont="1" applyFill="1" applyBorder="1" applyAlignment="1">
      <alignment vertical="top" wrapText="1"/>
    </xf>
    <xf numFmtId="164" fontId="7" fillId="17" borderId="4" xfId="2" applyFont="1" applyFill="1" applyBorder="1" applyAlignment="1">
      <alignment horizontal="left" vertical="top" wrapText="1"/>
    </xf>
    <xf numFmtId="167" fontId="7" fillId="17" borderId="4" xfId="1" applyNumberFormat="1" applyFont="1" applyFill="1" applyBorder="1" applyAlignment="1">
      <alignment horizontal="left" vertical="top" wrapText="1"/>
    </xf>
    <xf numFmtId="0" fontId="7" fillId="17" borderId="3" xfId="0" applyFont="1" applyFill="1" applyBorder="1" applyAlignment="1">
      <alignment horizontal="left" vertical="top" wrapText="1"/>
    </xf>
    <xf numFmtId="0" fontId="9" fillId="17" borderId="12" xfId="0" applyFont="1" applyFill="1" applyBorder="1" applyAlignment="1">
      <alignment horizontal="center" vertical="center" wrapText="1"/>
    </xf>
    <xf numFmtId="0" fontId="10" fillId="17" borderId="16" xfId="0" applyFont="1" applyFill="1" applyBorder="1" applyAlignment="1">
      <alignment horizontal="center" vertical="center" wrapText="1"/>
    </xf>
    <xf numFmtId="0" fontId="31" fillId="17" borderId="3" xfId="0" applyFont="1" applyFill="1" applyBorder="1" applyAlignment="1">
      <alignment horizontal="center" vertical="top" wrapText="1"/>
    </xf>
    <xf numFmtId="0" fontId="32" fillId="17" borderId="3" xfId="0" applyFont="1" applyFill="1" applyBorder="1" applyAlignment="1">
      <alignment horizontal="center" vertical="top" wrapText="1"/>
    </xf>
    <xf numFmtId="9" fontId="31" fillId="17" borderId="3" xfId="0" applyNumberFormat="1" applyFont="1" applyFill="1" applyBorder="1" applyAlignment="1">
      <alignment horizontal="center" vertical="top" wrapText="1"/>
    </xf>
    <xf numFmtId="0" fontId="31" fillId="17" borderId="3" xfId="0" applyFont="1" applyFill="1" applyBorder="1" applyAlignment="1">
      <alignment horizontal="left" vertical="top" wrapText="1"/>
    </xf>
    <xf numFmtId="0" fontId="52" fillId="15" borderId="2" xfId="0" applyFont="1" applyFill="1" applyBorder="1" applyAlignment="1">
      <alignment vertical="center"/>
    </xf>
    <xf numFmtId="0" fontId="31" fillId="17" borderId="3" xfId="0" applyFont="1" applyFill="1" applyBorder="1" applyAlignment="1">
      <alignment vertical="top" wrapText="1"/>
    </xf>
    <xf numFmtId="0" fontId="31" fillId="17" borderId="3" xfId="2" applyNumberFormat="1" applyFont="1" applyFill="1" applyBorder="1" applyAlignment="1">
      <alignment horizontal="left" vertical="top" wrapText="1"/>
    </xf>
    <xf numFmtId="0" fontId="31" fillId="17" borderId="3" xfId="0" applyNumberFormat="1" applyFont="1" applyFill="1" applyBorder="1" applyAlignment="1">
      <alignment horizontal="left" vertical="top" wrapText="1"/>
    </xf>
    <xf numFmtId="0" fontId="47" fillId="17" borderId="0" xfId="0" applyFont="1" applyFill="1"/>
    <xf numFmtId="0" fontId="54" fillId="17" borderId="3" xfId="0" applyFont="1" applyFill="1" applyBorder="1" applyAlignment="1">
      <alignment vertical="top" wrapText="1"/>
    </xf>
    <xf numFmtId="0" fontId="36" fillId="9" borderId="0" xfId="0" applyFont="1" applyFill="1"/>
    <xf numFmtId="0" fontId="55" fillId="6" borderId="2" xfId="0" applyFont="1" applyFill="1" applyBorder="1"/>
    <xf numFmtId="0" fontId="57" fillId="5" borderId="6" xfId="0" applyFont="1" applyFill="1" applyBorder="1" applyAlignment="1">
      <alignment horizontal="center" vertical="center" wrapText="1"/>
    </xf>
    <xf numFmtId="169" fontId="57" fillId="5" borderId="4" xfId="0" applyNumberFormat="1" applyFont="1" applyFill="1" applyBorder="1" applyAlignment="1">
      <alignment horizontal="center" vertical="center" wrapText="1"/>
    </xf>
    <xf numFmtId="169" fontId="58" fillId="5" borderId="4" xfId="0" applyNumberFormat="1" applyFont="1" applyFill="1" applyBorder="1" applyAlignment="1">
      <alignment horizontal="center" vertical="center" wrapText="1"/>
    </xf>
    <xf numFmtId="0" fontId="53" fillId="5" borderId="16" xfId="0" applyFont="1" applyFill="1" applyBorder="1" applyAlignment="1">
      <alignment vertical="top" wrapText="1"/>
    </xf>
    <xf numFmtId="0" fontId="9" fillId="5" borderId="3"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vertical="center" wrapText="1"/>
    </xf>
    <xf numFmtId="0" fontId="9" fillId="5" borderId="8" xfId="0" applyFont="1" applyFill="1" applyBorder="1" applyAlignment="1">
      <alignment horizontal="center" vertical="center"/>
    </xf>
    <xf numFmtId="0" fontId="40" fillId="5" borderId="4" xfId="0" applyFont="1" applyFill="1" applyBorder="1" applyAlignment="1">
      <alignment horizontal="center" vertical="center" wrapText="1"/>
    </xf>
    <xf numFmtId="0" fontId="19" fillId="10" borderId="14" xfId="0" applyFont="1" applyFill="1" applyBorder="1" applyAlignment="1">
      <alignment horizontal="center" vertical="center" wrapText="1"/>
    </xf>
    <xf numFmtId="0" fontId="7" fillId="0" borderId="25" xfId="0" applyFont="1" applyBorder="1" applyAlignment="1">
      <alignment vertical="center" wrapText="1"/>
    </xf>
    <xf numFmtId="4" fontId="43" fillId="0" borderId="34" xfId="0" applyNumberFormat="1" applyFont="1" applyBorder="1" applyAlignment="1">
      <alignment horizontal="right" vertical="top"/>
    </xf>
    <xf numFmtId="0" fontId="44" fillId="0" borderId="0" xfId="0" applyFont="1" applyAlignment="1">
      <alignment horizontal="center" vertical="top" wrapText="1" readingOrder="1"/>
    </xf>
    <xf numFmtId="167" fontId="60" fillId="17" borderId="4" xfId="1" applyNumberFormat="1" applyFont="1" applyFill="1" applyBorder="1" applyAlignment="1">
      <alignment horizontal="left" vertical="top" wrapText="1"/>
    </xf>
    <xf numFmtId="0" fontId="60" fillId="17" borderId="3" xfId="0" applyFont="1" applyFill="1" applyBorder="1" applyAlignment="1">
      <alignment vertical="top" wrapText="1"/>
    </xf>
    <xf numFmtId="9" fontId="7" fillId="17" borderId="3" xfId="1" applyFont="1" applyFill="1" applyBorder="1" applyAlignment="1">
      <alignment horizontal="center" vertical="top" wrapText="1"/>
    </xf>
    <xf numFmtId="9" fontId="1" fillId="0" borderId="0" xfId="1" applyFont="1" applyAlignment="1">
      <alignment horizontal="center"/>
    </xf>
    <xf numFmtId="9" fontId="36" fillId="0" borderId="0" xfId="1" applyFont="1" applyAlignment="1">
      <alignment horizontal="center"/>
    </xf>
    <xf numFmtId="9" fontId="37" fillId="6" borderId="2" xfId="1" applyFont="1" applyFill="1" applyBorder="1" applyAlignment="1">
      <alignment horizontal="center"/>
    </xf>
    <xf numFmtId="9" fontId="0" fillId="0" borderId="0" xfId="1" applyFont="1" applyAlignment="1">
      <alignment horizontal="center"/>
    </xf>
    <xf numFmtId="9" fontId="0" fillId="17" borderId="0" xfId="1" applyFont="1" applyFill="1" applyAlignment="1">
      <alignment horizontal="center"/>
    </xf>
    <xf numFmtId="9" fontId="28" fillId="17" borderId="6" xfId="1" applyFont="1" applyFill="1" applyBorder="1" applyAlignment="1">
      <alignment horizontal="center" vertical="center" wrapText="1"/>
    </xf>
    <xf numFmtId="9" fontId="14" fillId="5" borderId="4" xfId="1" applyFont="1" applyFill="1" applyBorder="1" applyAlignment="1">
      <alignment horizontal="center" vertical="center" wrapText="1"/>
    </xf>
    <xf numFmtId="9" fontId="9" fillId="5" borderId="4" xfId="1" applyFont="1" applyFill="1" applyBorder="1" applyAlignment="1">
      <alignment horizontal="center" vertical="center" wrapText="1"/>
    </xf>
    <xf numFmtId="9" fontId="7" fillId="17" borderId="4" xfId="1" applyFont="1" applyFill="1" applyBorder="1" applyAlignment="1">
      <alignment horizontal="center" vertical="top" wrapText="1"/>
    </xf>
    <xf numFmtId="9" fontId="41" fillId="5" borderId="4" xfId="1" applyFont="1" applyFill="1" applyBorder="1" applyAlignment="1">
      <alignment horizontal="center" vertical="center" wrapText="1"/>
    </xf>
    <xf numFmtId="9" fontId="40" fillId="5" borderId="4" xfId="1" applyFont="1" applyFill="1" applyBorder="1" applyAlignment="1">
      <alignment horizontal="center" vertical="center" wrapText="1"/>
    </xf>
    <xf numFmtId="9" fontId="7" fillId="17" borderId="6" xfId="1" applyFont="1" applyFill="1" applyBorder="1" applyAlignment="1">
      <alignment horizontal="center" vertical="top" wrapText="1"/>
    </xf>
    <xf numFmtId="9" fontId="7" fillId="17" borderId="3" xfId="1" applyFont="1" applyFill="1" applyBorder="1" applyAlignment="1">
      <alignment vertical="top" wrapText="1"/>
    </xf>
    <xf numFmtId="9" fontId="7" fillId="2" borderId="3" xfId="1" applyFont="1" applyFill="1" applyBorder="1" applyAlignment="1">
      <alignment vertical="center" wrapText="1"/>
    </xf>
    <xf numFmtId="172" fontId="0" fillId="0" borderId="0" xfId="2" applyNumberFormat="1" applyFont="1"/>
    <xf numFmtId="165" fontId="0" fillId="0" borderId="0" xfId="3" applyFont="1"/>
    <xf numFmtId="43" fontId="0" fillId="0" borderId="0" xfId="0" applyNumberFormat="1"/>
    <xf numFmtId="9" fontId="0" fillId="0" borderId="0" xfId="1" applyFont="1"/>
    <xf numFmtId="0" fontId="9" fillId="5" borderId="3" xfId="0" applyFont="1" applyFill="1" applyBorder="1" applyAlignment="1">
      <alignment horizontal="center" vertical="center" wrapText="1"/>
    </xf>
    <xf numFmtId="0" fontId="41" fillId="2" borderId="16" xfId="0" applyFont="1" applyFill="1" applyBorder="1" applyAlignment="1">
      <alignment horizontal="left" vertical="top" wrapText="1"/>
    </xf>
    <xf numFmtId="0" fontId="30" fillId="2" borderId="16" xfId="0" applyFont="1" applyFill="1" applyBorder="1" applyAlignment="1">
      <alignment horizontal="left" vertical="top" wrapText="1"/>
    </xf>
    <xf numFmtId="0" fontId="40" fillId="5" borderId="16" xfId="0" applyFont="1" applyFill="1" applyBorder="1" applyAlignment="1">
      <alignment horizontal="left" vertical="top" wrapText="1"/>
    </xf>
    <xf numFmtId="0" fontId="7" fillId="0" borderId="25" xfId="0" applyFont="1" applyBorder="1" applyAlignment="1">
      <alignment vertical="center" wrapText="1"/>
    </xf>
    <xf numFmtId="0" fontId="19" fillId="10" borderId="14" xfId="0" applyFont="1" applyFill="1" applyBorder="1" applyAlignment="1">
      <alignment horizontal="center" vertical="center" wrapText="1"/>
    </xf>
    <xf numFmtId="171" fontId="21" fillId="0" borderId="0" xfId="0" applyNumberFormat="1" applyFont="1" applyAlignment="1">
      <alignment vertical="top"/>
    </xf>
    <xf numFmtId="0" fontId="10" fillId="4" borderId="0" xfId="0" applyFont="1" applyFill="1" applyBorder="1" applyAlignment="1">
      <alignment horizontal="center" vertical="center" wrapText="1"/>
    </xf>
    <xf numFmtId="0" fontId="10" fillId="17" borderId="0" xfId="0" applyFont="1" applyFill="1" applyBorder="1" applyAlignment="1">
      <alignment horizontal="center" vertical="center" wrapText="1"/>
    </xf>
    <xf numFmtId="0" fontId="30" fillId="5" borderId="13" xfId="0" applyFont="1" applyFill="1" applyBorder="1" applyAlignment="1">
      <alignment horizontal="left" vertical="center" wrapText="1"/>
    </xf>
    <xf numFmtId="0" fontId="15" fillId="2" borderId="13" xfId="0" applyFont="1" applyFill="1" applyBorder="1" applyAlignment="1">
      <alignment horizontal="center" vertical="top" wrapText="1"/>
    </xf>
    <xf numFmtId="9" fontId="31" fillId="17" borderId="3" xfId="1" applyFont="1" applyFill="1" applyBorder="1" applyAlignment="1">
      <alignment horizontal="center" vertical="top" wrapText="1"/>
    </xf>
    <xf numFmtId="10" fontId="0" fillId="9" borderId="0" xfId="1" applyNumberFormat="1" applyFont="1" applyFill="1" applyAlignment="1">
      <alignment vertical="top"/>
    </xf>
    <xf numFmtId="10" fontId="31" fillId="17" borderId="3" xfId="1" applyNumberFormat="1" applyFont="1" applyFill="1" applyBorder="1" applyAlignment="1">
      <alignment horizontal="center" vertical="top" wrapText="1"/>
    </xf>
    <xf numFmtId="165" fontId="61" fillId="0" borderId="0" xfId="13" applyFont="1"/>
    <xf numFmtId="173" fontId="62" fillId="18" borderId="25" xfId="0" applyNumberFormat="1" applyFont="1" applyFill="1" applyBorder="1" applyAlignment="1">
      <alignment horizontal="center" vertical="center"/>
    </xf>
    <xf numFmtId="0" fontId="62" fillId="18" borderId="25" xfId="0" applyFont="1" applyFill="1" applyBorder="1" applyAlignment="1">
      <alignment horizontal="center" vertical="center"/>
    </xf>
    <xf numFmtId="0" fontId="61" fillId="0" borderId="0" xfId="0" applyFont="1"/>
    <xf numFmtId="0" fontId="62" fillId="19" borderId="38" xfId="0" applyFont="1" applyFill="1" applyBorder="1" applyAlignment="1">
      <alignment horizontal="center" vertical="center"/>
    </xf>
    <xf numFmtId="0" fontId="62" fillId="19" borderId="25" xfId="0" applyFont="1" applyFill="1" applyBorder="1" applyAlignment="1">
      <alignment horizontal="center" vertical="center"/>
    </xf>
    <xf numFmtId="173" fontId="62" fillId="19" borderId="25" xfId="0" applyNumberFormat="1" applyFont="1" applyFill="1" applyBorder="1" applyAlignment="1">
      <alignment horizontal="center" vertical="center"/>
    </xf>
    <xf numFmtId="0" fontId="63" fillId="19" borderId="25" xfId="0" applyFont="1" applyFill="1" applyBorder="1" applyAlignment="1">
      <alignment horizontal="center" vertical="center" wrapText="1"/>
    </xf>
    <xf numFmtId="0" fontId="64" fillId="10" borderId="24" xfId="0" applyFont="1" applyFill="1" applyBorder="1" applyAlignment="1">
      <alignment horizontal="center" vertical="center" wrapText="1"/>
    </xf>
    <xf numFmtId="0" fontId="64" fillId="10" borderId="14" xfId="0" applyFont="1" applyFill="1" applyBorder="1" applyAlignment="1">
      <alignment horizontal="center" vertical="center" wrapText="1"/>
    </xf>
    <xf numFmtId="0" fontId="65" fillId="10" borderId="14" xfId="0" applyFont="1" applyFill="1" applyBorder="1" applyAlignment="1">
      <alignment horizontal="center" vertical="center" wrapText="1"/>
    </xf>
    <xf numFmtId="0" fontId="65" fillId="12" borderId="39" xfId="0" applyFont="1" applyFill="1" applyBorder="1" applyAlignment="1">
      <alignment vertical="center"/>
    </xf>
    <xf numFmtId="0" fontId="65" fillId="12" borderId="40" xfId="0" applyFont="1" applyFill="1" applyBorder="1" applyAlignment="1">
      <alignment vertical="center"/>
    </xf>
    <xf numFmtId="0" fontId="62" fillId="0" borderId="22" xfId="0" applyFont="1" applyBorder="1" applyAlignment="1">
      <alignment horizontal="center" vertical="center"/>
    </xf>
    <xf numFmtId="0" fontId="63" fillId="0" borderId="22" xfId="0" applyFont="1" applyBorder="1" applyAlignment="1">
      <alignment horizontal="left" vertical="center" wrapText="1"/>
    </xf>
    <xf numFmtId="0" fontId="63" fillId="0" borderId="22" xfId="0" applyFont="1" applyBorder="1" applyAlignment="1">
      <alignment horizontal="center" vertical="center" wrapText="1"/>
    </xf>
    <xf numFmtId="173" fontId="62" fillId="0" borderId="22" xfId="0" applyNumberFormat="1" applyFont="1" applyBorder="1" applyAlignment="1">
      <alignment horizontal="center" vertical="center"/>
    </xf>
    <xf numFmtId="10" fontId="62" fillId="0" borderId="22" xfId="1" applyNumberFormat="1" applyFont="1" applyBorder="1" applyAlignment="1">
      <alignment horizontal="center" vertical="center"/>
    </xf>
    <xf numFmtId="164" fontId="0" fillId="0" borderId="22" xfId="11" applyFont="1" applyBorder="1" applyAlignment="1">
      <alignment horizontal="center"/>
    </xf>
    <xf numFmtId="10" fontId="0" fillId="0" borderId="22" xfId="1" applyNumberFormat="1" applyFont="1" applyBorder="1" applyAlignment="1">
      <alignment horizontal="center"/>
    </xf>
    <xf numFmtId="0" fontId="0" fillId="0" borderId="22" xfId="0" applyBorder="1"/>
    <xf numFmtId="165" fontId="0" fillId="0" borderId="0" xfId="0" applyNumberFormat="1"/>
    <xf numFmtId="0" fontId="0" fillId="0" borderId="22" xfId="0" applyBorder="1" applyAlignment="1">
      <alignment horizontal="center"/>
    </xf>
    <xf numFmtId="0" fontId="62" fillId="12" borderId="22" xfId="0" applyFont="1" applyFill="1" applyBorder="1" applyAlignment="1">
      <alignment horizontal="center" vertical="center"/>
    </xf>
    <xf numFmtId="173" fontId="62" fillId="12" borderId="22" xfId="0" applyNumberFormat="1" applyFont="1" applyFill="1" applyBorder="1" applyAlignment="1">
      <alignment horizontal="center" vertical="center"/>
    </xf>
    <xf numFmtId="9" fontId="62" fillId="12" borderId="22" xfId="1" applyFont="1" applyFill="1" applyBorder="1" applyAlignment="1">
      <alignment horizontal="center" vertical="center"/>
    </xf>
    <xf numFmtId="10" fontId="62" fillId="12" borderId="22" xfId="1" applyNumberFormat="1" applyFont="1" applyFill="1" applyBorder="1" applyAlignment="1">
      <alignment horizontal="center" vertical="center"/>
    </xf>
    <xf numFmtId="0" fontId="0" fillId="9" borderId="22" xfId="0" applyFill="1" applyBorder="1"/>
    <xf numFmtId="165" fontId="0" fillId="9" borderId="22" xfId="13" applyFont="1" applyFill="1" applyBorder="1"/>
    <xf numFmtId="0" fontId="63" fillId="12" borderId="14" xfId="0" applyFont="1" applyFill="1" applyBorder="1" applyAlignment="1">
      <alignment horizontal="center" vertical="center" wrapText="1"/>
    </xf>
    <xf numFmtId="173" fontId="62" fillId="12" borderId="14" xfId="0" applyNumberFormat="1" applyFont="1" applyFill="1" applyBorder="1" applyAlignment="1">
      <alignment horizontal="center" vertical="center"/>
    </xf>
    <xf numFmtId="10" fontId="62" fillId="12" borderId="14" xfId="1" applyNumberFormat="1" applyFont="1" applyFill="1" applyBorder="1" applyAlignment="1">
      <alignment horizontal="center" vertical="center"/>
    </xf>
    <xf numFmtId="0" fontId="62" fillId="0" borderId="41" xfId="0" applyFont="1" applyBorder="1" applyAlignment="1">
      <alignment horizontal="center" vertical="center"/>
    </xf>
    <xf numFmtId="0" fontId="63" fillId="0" borderId="38" xfId="0" applyFont="1" applyBorder="1" applyAlignment="1">
      <alignment horizontal="left" vertical="center" wrapText="1"/>
    </xf>
    <xf numFmtId="0" fontId="63" fillId="0" borderId="25" xfId="0" applyFont="1" applyBorder="1" applyAlignment="1">
      <alignment horizontal="center" vertical="center" wrapText="1"/>
    </xf>
    <xf numFmtId="173" fontId="62" fillId="0" borderId="25" xfId="0" applyNumberFormat="1" applyFont="1" applyBorder="1" applyAlignment="1">
      <alignment horizontal="center" vertical="center"/>
    </xf>
    <xf numFmtId="10" fontId="62" fillId="0" borderId="14" xfId="1" applyNumberFormat="1" applyFont="1" applyBorder="1" applyAlignment="1">
      <alignment horizontal="center" vertical="center"/>
    </xf>
    <xf numFmtId="10" fontId="62" fillId="0" borderId="25" xfId="1" applyNumberFormat="1" applyFont="1" applyBorder="1" applyAlignment="1">
      <alignment horizontal="center" vertical="center"/>
    </xf>
    <xf numFmtId="0" fontId="62" fillId="0" borderId="1" xfId="0" applyFont="1" applyBorder="1" applyAlignment="1">
      <alignment horizontal="center" vertical="center"/>
    </xf>
    <xf numFmtId="0" fontId="63" fillId="0" borderId="24" xfId="0" applyFont="1" applyBorder="1" applyAlignment="1">
      <alignment horizontal="left" vertical="center" wrapText="1"/>
    </xf>
    <xf numFmtId="0" fontId="63" fillId="0" borderId="14" xfId="0" applyFont="1" applyBorder="1" applyAlignment="1">
      <alignment horizontal="center" vertical="center" wrapText="1"/>
    </xf>
    <xf numFmtId="173" fontId="62" fillId="0" borderId="25" xfId="0" applyNumberFormat="1" applyFont="1" applyBorder="1" applyAlignment="1">
      <alignment horizontal="left" vertical="center"/>
    </xf>
    <xf numFmtId="10" fontId="62" fillId="0" borderId="14" xfId="1" applyNumberFormat="1" applyFont="1" applyBorder="1" applyAlignment="1">
      <alignment horizontal="left" vertical="center"/>
    </xf>
    <xf numFmtId="0" fontId="62" fillId="12" borderId="1" xfId="0" applyFont="1" applyFill="1" applyBorder="1" applyAlignment="1">
      <alignment horizontal="center" vertical="center"/>
    </xf>
    <xf numFmtId="0" fontId="63" fillId="12" borderId="24" xfId="0" applyFont="1" applyFill="1" applyBorder="1" applyAlignment="1">
      <alignment horizontal="center" vertical="center" wrapText="1"/>
    </xf>
    <xf numFmtId="9" fontId="62" fillId="12" borderId="14" xfId="1" applyFont="1" applyFill="1" applyBorder="1" applyAlignment="1">
      <alignment horizontal="center" vertical="center"/>
    </xf>
    <xf numFmtId="164" fontId="62" fillId="12" borderId="14" xfId="11" applyFont="1" applyFill="1" applyBorder="1" applyAlignment="1">
      <alignment horizontal="center" vertical="center"/>
    </xf>
    <xf numFmtId="0" fontId="62" fillId="0" borderId="0" xfId="0" applyFont="1" applyAlignment="1">
      <alignment horizontal="center" vertical="center"/>
    </xf>
    <xf numFmtId="0" fontId="63" fillId="0" borderId="0" xfId="0" applyFont="1" applyAlignment="1">
      <alignment horizontal="center" vertical="center" wrapText="1"/>
    </xf>
    <xf numFmtId="173" fontId="62" fillId="0" borderId="0" xfId="0" applyNumberFormat="1" applyFont="1" applyAlignment="1">
      <alignment horizontal="center" vertical="center"/>
    </xf>
    <xf numFmtId="10" fontId="62" fillId="0" borderId="0" xfId="1" applyNumberFormat="1" applyFont="1" applyAlignment="1">
      <alignment horizontal="center" vertical="center"/>
    </xf>
    <xf numFmtId="0" fontId="0" fillId="16" borderId="42" xfId="0" applyFill="1" applyBorder="1" applyAlignment="1">
      <alignment horizontal="center"/>
    </xf>
    <xf numFmtId="173" fontId="0" fillId="16" borderId="42" xfId="0" applyNumberFormat="1" applyFill="1" applyBorder="1" applyAlignment="1">
      <alignment horizontal="center"/>
    </xf>
    <xf numFmtId="0" fontId="64" fillId="10" borderId="2" xfId="0" applyFont="1" applyFill="1" applyBorder="1" applyAlignment="1">
      <alignment horizontal="center" vertical="center" wrapText="1"/>
    </xf>
    <xf numFmtId="0" fontId="64" fillId="10" borderId="22" xfId="0" applyFont="1" applyFill="1" applyBorder="1" applyAlignment="1">
      <alignment horizontal="center" vertical="center" wrapText="1"/>
    </xf>
    <xf numFmtId="0" fontId="62" fillId="9" borderId="45" xfId="0" applyFont="1" applyFill="1" applyBorder="1" applyAlignment="1">
      <alignment horizontal="center" vertical="center"/>
    </xf>
    <xf numFmtId="173" fontId="62" fillId="9" borderId="45" xfId="0" applyNumberFormat="1" applyFont="1" applyFill="1" applyBorder="1" applyAlignment="1">
      <alignment horizontal="center" vertical="center"/>
    </xf>
    <xf numFmtId="10" fontId="62" fillId="9" borderId="46" xfId="1" applyNumberFormat="1" applyFont="1" applyFill="1" applyBorder="1" applyAlignment="1">
      <alignment horizontal="center" vertical="center"/>
    </xf>
    <xf numFmtId="173" fontId="47" fillId="0" borderId="22" xfId="0" applyNumberFormat="1" applyFont="1" applyBorder="1"/>
    <xf numFmtId="0" fontId="62" fillId="9" borderId="22" xfId="0" applyFont="1" applyFill="1" applyBorder="1" applyAlignment="1">
      <alignment horizontal="center" vertical="center"/>
    </xf>
    <xf numFmtId="173" fontId="62" fillId="9" borderId="22" xfId="0" applyNumberFormat="1" applyFont="1" applyFill="1" applyBorder="1" applyAlignment="1">
      <alignment horizontal="center" vertical="center"/>
    </xf>
    <xf numFmtId="10" fontId="62" fillId="9" borderId="49" xfId="1" applyNumberFormat="1" applyFont="1" applyFill="1" applyBorder="1" applyAlignment="1">
      <alignment horizontal="center" vertical="center"/>
    </xf>
    <xf numFmtId="164" fontId="47" fillId="0" borderId="22" xfId="0" applyNumberFormat="1" applyFont="1" applyBorder="1"/>
    <xf numFmtId="0" fontId="0" fillId="12" borderId="52" xfId="0" applyFill="1" applyBorder="1" applyAlignment="1">
      <alignment horizontal="center"/>
    </xf>
    <xf numFmtId="173" fontId="0" fillId="12" borderId="22" xfId="0" applyNumberFormat="1" applyFill="1" applyBorder="1" applyAlignment="1">
      <alignment horizontal="center"/>
    </xf>
    <xf numFmtId="9" fontId="12" fillId="12" borderId="22" xfId="1" applyFill="1" applyBorder="1" applyAlignment="1">
      <alignment horizontal="center"/>
    </xf>
    <xf numFmtId="44" fontId="47" fillId="12" borderId="22" xfId="0" applyNumberFormat="1" applyFont="1" applyFill="1" applyBorder="1"/>
    <xf numFmtId="10" fontId="66" fillId="12" borderId="22" xfId="1" applyNumberFormat="1" applyFont="1" applyFill="1" applyBorder="1" applyAlignment="1">
      <alignment horizontal="center"/>
    </xf>
    <xf numFmtId="164" fontId="0" fillId="0" borderId="0" xfId="11" applyFont="1"/>
    <xf numFmtId="0" fontId="67" fillId="0" borderId="25" xfId="0" applyFont="1" applyBorder="1" applyAlignment="1">
      <alignment vertical="center"/>
    </xf>
    <xf numFmtId="164" fontId="61" fillId="0" borderId="0" xfId="11" applyFont="1"/>
    <xf numFmtId="164" fontId="61" fillId="0" borderId="0" xfId="0" applyNumberFormat="1" applyFont="1"/>
    <xf numFmtId="44" fontId="0" fillId="0" borderId="22" xfId="0" applyNumberFormat="1" applyBorder="1"/>
    <xf numFmtId="9" fontId="31" fillId="9" borderId="3" xfId="0" applyNumberFormat="1" applyFont="1" applyFill="1" applyBorder="1" applyAlignment="1">
      <alignment horizontal="left" vertical="top" wrapText="1"/>
    </xf>
    <xf numFmtId="173" fontId="0" fillId="12" borderId="0" xfId="0" applyNumberFormat="1" applyFill="1"/>
    <xf numFmtId="10" fontId="0" fillId="0" borderId="22" xfId="0" applyNumberFormat="1" applyBorder="1"/>
    <xf numFmtId="173" fontId="62" fillId="12" borderId="14" xfId="1" applyNumberFormat="1" applyFont="1" applyFill="1" applyBorder="1" applyAlignment="1">
      <alignment horizontal="center" vertical="center"/>
    </xf>
    <xf numFmtId="10" fontId="47" fillId="12" borderId="22" xfId="1" applyNumberFormat="1" applyFont="1" applyFill="1" applyBorder="1"/>
    <xf numFmtId="10" fontId="47" fillId="0" borderId="22" xfId="1" applyNumberFormat="1" applyFont="1" applyBorder="1"/>
    <xf numFmtId="0" fontId="0" fillId="12" borderId="0" xfId="0" applyFill="1"/>
    <xf numFmtId="173" fontId="0" fillId="12" borderId="22" xfId="0" applyNumberFormat="1" applyFill="1" applyBorder="1"/>
    <xf numFmtId="0" fontId="0" fillId="12" borderId="22" xfId="0" applyFill="1" applyBorder="1"/>
    <xf numFmtId="0" fontId="64" fillId="10" borderId="53" xfId="0" applyFont="1" applyFill="1" applyBorder="1" applyAlignment="1">
      <alignment horizontal="center" vertical="center" wrapText="1"/>
    </xf>
    <xf numFmtId="0" fontId="64" fillId="10" borderId="26" xfId="0" applyFont="1" applyFill="1" applyBorder="1" applyAlignment="1">
      <alignment horizontal="center" vertical="center" wrapText="1"/>
    </xf>
    <xf numFmtId="0" fontId="65" fillId="10" borderId="26" xfId="0" applyFont="1" applyFill="1" applyBorder="1" applyAlignment="1">
      <alignment horizontal="center" vertical="center" wrapText="1"/>
    </xf>
    <xf numFmtId="173" fontId="0" fillId="0" borderId="22" xfId="0" applyNumberFormat="1" applyBorder="1"/>
    <xf numFmtId="174" fontId="0" fillId="0" borderId="22" xfId="0" applyNumberFormat="1" applyBorder="1"/>
    <xf numFmtId="10" fontId="0" fillId="0" borderId="22" xfId="1" applyNumberFormat="1" applyFont="1" applyBorder="1"/>
    <xf numFmtId="174" fontId="0" fillId="12" borderId="22" xfId="0" applyNumberFormat="1" applyFill="1" applyBorder="1"/>
    <xf numFmtId="10" fontId="0" fillId="12" borderId="22" xfId="1" applyNumberFormat="1" applyFont="1" applyFill="1" applyBorder="1"/>
    <xf numFmtId="10" fontId="47" fillId="12" borderId="22" xfId="1" applyNumberFormat="1" applyFont="1" applyFill="1" applyBorder="1" applyAlignment="1">
      <alignment horizontal="center"/>
    </xf>
    <xf numFmtId="0" fontId="7" fillId="9" borderId="3" xfId="0" applyFont="1" applyFill="1" applyBorder="1" applyAlignment="1">
      <alignment horizontal="justify" vertical="top" wrapText="1"/>
    </xf>
    <xf numFmtId="0" fontId="7" fillId="9" borderId="4" xfId="0" applyFont="1" applyFill="1" applyBorder="1" applyAlignment="1">
      <alignment horizontal="justify" vertical="top" wrapText="1"/>
    </xf>
    <xf numFmtId="0" fontId="7" fillId="9" borderId="4" xfId="0" applyFont="1" applyFill="1" applyBorder="1" applyAlignment="1">
      <alignment horizontal="center" vertical="top" wrapText="1"/>
    </xf>
    <xf numFmtId="3" fontId="7" fillId="9" borderId="4" xfId="0" applyNumberFormat="1" applyFont="1" applyFill="1" applyBorder="1" applyAlignment="1">
      <alignment horizontal="center" vertical="top" wrapText="1"/>
    </xf>
    <xf numFmtId="9" fontId="7" fillId="9" borderId="3" xfId="0" applyNumberFormat="1" applyFont="1" applyFill="1" applyBorder="1" applyAlignment="1">
      <alignment horizontal="center" vertical="top" wrapText="1"/>
    </xf>
    <xf numFmtId="0" fontId="7" fillId="9" borderId="6" xfId="0" applyFont="1" applyFill="1" applyBorder="1" applyAlignment="1">
      <alignment horizontal="center" vertical="top" wrapText="1"/>
    </xf>
    <xf numFmtId="170" fontId="7" fillId="9" borderId="4" xfId="1" applyNumberFormat="1" applyFont="1" applyFill="1" applyBorder="1" applyAlignment="1">
      <alignment horizontal="center" vertical="top" wrapText="1"/>
    </xf>
    <xf numFmtId="168" fontId="7" fillId="9" borderId="3" xfId="0" applyNumberFormat="1" applyFont="1" applyFill="1" applyBorder="1" applyAlignment="1">
      <alignment horizontal="center" vertical="top" wrapText="1"/>
    </xf>
    <xf numFmtId="164" fontId="7" fillId="9" borderId="4" xfId="2" applyFont="1" applyFill="1" applyBorder="1" applyAlignment="1">
      <alignment horizontal="center" vertical="center" wrapText="1"/>
    </xf>
    <xf numFmtId="169" fontId="7" fillId="9" borderId="4" xfId="2" applyNumberFormat="1" applyFont="1" applyFill="1" applyBorder="1" applyAlignment="1">
      <alignment horizontal="center" vertical="center" wrapText="1"/>
    </xf>
    <xf numFmtId="164" fontId="7" fillId="9" borderId="6" xfId="2" applyFont="1" applyFill="1" applyBorder="1" applyAlignment="1">
      <alignment horizontal="center" vertical="center" wrapText="1"/>
    </xf>
    <xf numFmtId="167" fontId="28" fillId="9" borderId="4" xfId="1" applyNumberFormat="1" applyFont="1" applyFill="1" applyBorder="1" applyAlignment="1">
      <alignment vertical="top" wrapText="1"/>
    </xf>
    <xf numFmtId="164" fontId="7" fillId="9" borderId="3" xfId="2" applyFont="1" applyFill="1" applyBorder="1" applyAlignment="1">
      <alignment horizontal="left" vertical="center" wrapText="1"/>
    </xf>
    <xf numFmtId="166" fontId="28" fillId="9" borderId="3" xfId="0" applyNumberFormat="1" applyFont="1" applyFill="1" applyBorder="1" applyAlignment="1">
      <alignment vertical="top" wrapText="1"/>
    </xf>
    <xf numFmtId="44" fontId="25" fillId="9" borderId="0" xfId="0" applyNumberFormat="1" applyFont="1" applyFill="1" applyAlignment="1">
      <alignment horizontal="center"/>
    </xf>
    <xf numFmtId="164" fontId="0" fillId="9" borderId="0" xfId="2" applyFont="1" applyFill="1" applyAlignment="1">
      <alignment horizontal="center"/>
    </xf>
    <xf numFmtId="9" fontId="0" fillId="9" borderId="0" xfId="1" applyFont="1" applyFill="1" applyAlignment="1">
      <alignment horizontal="center"/>
    </xf>
    <xf numFmtId="0" fontId="25" fillId="9" borderId="0" xfId="0" applyFont="1" applyFill="1" applyAlignment="1">
      <alignment horizontal="center"/>
    </xf>
    <xf numFmtId="0" fontId="7" fillId="9" borderId="8" xfId="0" applyFont="1" applyFill="1" applyBorder="1" applyAlignment="1">
      <alignment vertical="center" wrapText="1"/>
    </xf>
    <xf numFmtId="0" fontId="7" fillId="9" borderId="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16" fillId="9" borderId="22" xfId="0" applyFont="1" applyFill="1" applyBorder="1" applyAlignment="1">
      <alignment vertical="center" wrapText="1"/>
    </xf>
    <xf numFmtId="44" fontId="0" fillId="9" borderId="0" xfId="0" applyNumberFormat="1" applyFill="1"/>
    <xf numFmtId="44" fontId="0" fillId="9" borderId="0" xfId="0" applyNumberFormat="1" applyFill="1" applyAlignment="1">
      <alignment horizontal="center"/>
    </xf>
    <xf numFmtId="0" fontId="0" fillId="11" borderId="0" xfId="0" applyFill="1"/>
    <xf numFmtId="0" fontId="23" fillId="11" borderId="0" xfId="0" applyFont="1" applyFill="1"/>
    <xf numFmtId="0" fontId="68" fillId="9" borderId="0" xfId="0" applyFont="1" applyFill="1" applyBorder="1" applyAlignment="1">
      <alignment vertical="center"/>
    </xf>
    <xf numFmtId="0" fontId="0" fillId="0" borderId="20" xfId="0" applyBorder="1"/>
    <xf numFmtId="0" fontId="70" fillId="20" borderId="22" xfId="0" applyFont="1" applyFill="1" applyBorder="1" applyAlignment="1">
      <alignment horizontal="center" wrapText="1"/>
    </xf>
    <xf numFmtId="0" fontId="61" fillId="21" borderId="22" xfId="0" applyFont="1" applyFill="1" applyBorder="1" applyAlignment="1">
      <alignment horizontal="center" wrapText="1"/>
    </xf>
    <xf numFmtId="0" fontId="0" fillId="22" borderId="22" xfId="0" applyFill="1" applyBorder="1" applyAlignment="1">
      <alignment horizontal="center" wrapText="1"/>
    </xf>
    <xf numFmtId="0" fontId="0" fillId="17" borderId="22" xfId="0" applyFill="1" applyBorder="1" applyAlignment="1">
      <alignment horizontal="center" wrapText="1"/>
    </xf>
    <xf numFmtId="0" fontId="36" fillId="20" borderId="22" xfId="0" applyFont="1" applyFill="1" applyBorder="1" applyAlignment="1">
      <alignment horizontal="center"/>
    </xf>
    <xf numFmtId="0" fontId="21" fillId="0" borderId="22" xfId="0" applyFont="1" applyBorder="1" applyAlignment="1">
      <alignment horizontal="center"/>
    </xf>
    <xf numFmtId="10" fontId="21" fillId="0" borderId="22" xfId="1" applyNumberFormat="1" applyFont="1" applyBorder="1" applyAlignment="1">
      <alignment horizontal="center"/>
    </xf>
    <xf numFmtId="10" fontId="46" fillId="0" borderId="22" xfId="1" applyNumberFormat="1" applyFont="1" applyBorder="1" applyAlignment="1">
      <alignment horizontal="center"/>
    </xf>
    <xf numFmtId="0" fontId="46" fillId="0" borderId="22" xfId="0" applyFont="1" applyBorder="1" applyAlignment="1">
      <alignment horizontal="center"/>
    </xf>
    <xf numFmtId="10" fontId="46" fillId="0" borderId="22" xfId="0" applyNumberFormat="1" applyFont="1" applyBorder="1" applyAlignment="1">
      <alignment horizontal="center"/>
    </xf>
    <xf numFmtId="0" fontId="0" fillId="22" borderId="22" xfId="0" applyFill="1" applyBorder="1" applyAlignment="1">
      <alignment horizontal="center" vertical="center" wrapText="1"/>
    </xf>
    <xf numFmtId="0" fontId="0" fillId="17" borderId="22" xfId="0" applyFill="1" applyBorder="1" applyAlignment="1">
      <alignment horizontal="center" vertical="center" wrapText="1"/>
    </xf>
    <xf numFmtId="0" fontId="61" fillId="21" borderId="22" xfId="0" applyFont="1" applyFill="1" applyBorder="1" applyAlignment="1">
      <alignment horizontal="center" vertical="center" wrapText="1"/>
    </xf>
    <xf numFmtId="0" fontId="0" fillId="17" borderId="22" xfId="0" applyFill="1" applyBorder="1" applyAlignment="1">
      <alignment horizontal="center" vertical="center"/>
    </xf>
    <xf numFmtId="10" fontId="73" fillId="0" borderId="22" xfId="1" applyNumberFormat="1" applyFont="1" applyBorder="1" applyAlignment="1">
      <alignment horizontal="center"/>
    </xf>
    <xf numFmtId="0" fontId="73" fillId="0" borderId="22" xfId="0" applyFont="1" applyBorder="1" applyAlignment="1">
      <alignment horizontal="center"/>
    </xf>
    <xf numFmtId="0" fontId="74" fillId="0" borderId="22" xfId="0" applyFont="1" applyBorder="1" applyAlignment="1">
      <alignment horizontal="center"/>
    </xf>
    <xf numFmtId="10" fontId="74" fillId="0" borderId="22" xfId="1" applyNumberFormat="1" applyFont="1" applyBorder="1" applyAlignment="1">
      <alignment horizontal="center"/>
    </xf>
    <xf numFmtId="0" fontId="0" fillId="23" borderId="22" xfId="0" applyFill="1" applyBorder="1"/>
    <xf numFmtId="0" fontId="0" fillId="23" borderId="22" xfId="0" applyFill="1" applyBorder="1" applyAlignment="1">
      <alignment horizontal="center"/>
    </xf>
    <xf numFmtId="10" fontId="0" fillId="23" borderId="22" xfId="1" applyNumberFormat="1" applyFont="1" applyFill="1" applyBorder="1" applyAlignment="1">
      <alignment horizontal="center"/>
    </xf>
    <xf numFmtId="10" fontId="0" fillId="0" borderId="0" xfId="0" applyNumberFormat="1"/>
    <xf numFmtId="9" fontId="28" fillId="9" borderId="3" xfId="1" applyFont="1" applyFill="1" applyBorder="1" applyAlignment="1">
      <alignment vertical="top" wrapText="1"/>
    </xf>
    <xf numFmtId="0" fontId="9" fillId="5" borderId="3"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9" xfId="0" applyFont="1" applyFill="1" applyBorder="1" applyAlignment="1">
      <alignment horizontal="center" vertical="center" wrapText="1"/>
    </xf>
    <xf numFmtId="164" fontId="9" fillId="5" borderId="3" xfId="2" applyFont="1" applyFill="1" applyBorder="1" applyAlignment="1">
      <alignment horizontal="center" vertical="center" wrapText="1"/>
    </xf>
    <xf numFmtId="164" fontId="9" fillId="5" borderId="8" xfId="2"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0" xfId="0" applyFont="1" applyFill="1" applyBorder="1" applyAlignment="1">
      <alignment horizontal="center" vertical="center" wrapText="1"/>
    </xf>
    <xf numFmtId="9" fontId="9" fillId="17" borderId="3" xfId="1" applyFont="1" applyFill="1" applyBorder="1" applyAlignment="1">
      <alignment horizontal="center" vertical="center" wrapText="1"/>
    </xf>
    <xf numFmtId="9" fontId="9" fillId="17" borderId="8" xfId="1"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56" fillId="5" borderId="3" xfId="0" applyFont="1" applyFill="1" applyBorder="1" applyAlignment="1">
      <alignment horizontal="center" vertical="center" wrapText="1"/>
    </xf>
    <xf numFmtId="0" fontId="56" fillId="5" borderId="8" xfId="0" applyFont="1" applyFill="1" applyBorder="1" applyAlignment="1">
      <alignment horizontal="center" vertical="center" wrapText="1"/>
    </xf>
    <xf numFmtId="0" fontId="3" fillId="7" borderId="20" xfId="0" applyFont="1" applyFill="1" applyBorder="1" applyAlignment="1">
      <alignment horizontal="left" vertical="center" wrapText="1"/>
    </xf>
    <xf numFmtId="0" fontId="3" fillId="7" borderId="0" xfId="0" applyFont="1" applyFill="1" applyAlignment="1">
      <alignment horizontal="left" vertical="center" wrapText="1"/>
    </xf>
    <xf numFmtId="0" fontId="1" fillId="0" borderId="0" xfId="0" applyFont="1" applyAlignment="1">
      <alignment horizontal="center"/>
    </xf>
    <xf numFmtId="0" fontId="3" fillId="0" borderId="0" xfId="0" applyFont="1" applyAlignment="1">
      <alignment horizontal="center" vertical="center" wrapText="1"/>
    </xf>
    <xf numFmtId="0" fontId="3" fillId="6" borderId="1"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14"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5" borderId="8" xfId="0" applyFont="1" applyFill="1" applyBorder="1" applyAlignment="1">
      <alignment horizontal="center" vertical="center"/>
    </xf>
    <xf numFmtId="0" fontId="9" fillId="5" borderId="17" xfId="0" applyFont="1" applyFill="1" applyBorder="1" applyAlignment="1">
      <alignment horizontal="center" vertical="center" wrapText="1"/>
    </xf>
    <xf numFmtId="0" fontId="8" fillId="6" borderId="1" xfId="0" applyFont="1" applyFill="1" applyBorder="1" applyAlignment="1">
      <alignment horizontal="justify" vertical="center" wrapText="1"/>
    </xf>
    <xf numFmtId="0" fontId="8" fillId="6" borderId="2" xfId="0" applyFont="1" applyFill="1" applyBorder="1" applyAlignment="1">
      <alignment horizontal="justify" vertical="center" wrapText="1"/>
    </xf>
    <xf numFmtId="0" fontId="8" fillId="6" borderId="14" xfId="0" applyFont="1" applyFill="1" applyBorder="1" applyAlignment="1">
      <alignment horizontal="justify" vertical="center" wrapText="1"/>
    </xf>
    <xf numFmtId="0" fontId="27" fillId="4" borderId="0" xfId="0" applyFont="1" applyFill="1" applyAlignment="1">
      <alignment horizontal="center" vertical="center" wrapText="1"/>
    </xf>
    <xf numFmtId="0" fontId="27" fillId="4" borderId="17" xfId="0" applyFont="1" applyFill="1" applyBorder="1" applyAlignment="1">
      <alignment horizontal="center" vertical="center" wrapText="1"/>
    </xf>
    <xf numFmtId="0" fontId="27" fillId="8" borderId="5" xfId="0" applyFont="1" applyFill="1" applyBorder="1" applyAlignment="1">
      <alignment horizontal="center" vertical="center"/>
    </xf>
    <xf numFmtId="0" fontId="27" fillId="8" borderId="17" xfId="0" applyFont="1" applyFill="1" applyBorder="1" applyAlignment="1">
      <alignment horizontal="center" vertical="center"/>
    </xf>
    <xf numFmtId="0" fontId="9" fillId="5" borderId="15" xfId="0" applyFont="1" applyFill="1" applyBorder="1" applyAlignment="1">
      <alignment horizontal="left" vertical="center" wrapText="1"/>
    </xf>
    <xf numFmtId="0" fontId="9" fillId="5" borderId="16" xfId="0" applyFont="1" applyFill="1" applyBorder="1" applyAlignment="1">
      <alignment horizontal="left" vertical="center" wrapText="1"/>
    </xf>
    <xf numFmtId="0" fontId="6" fillId="8" borderId="5" xfId="0" applyFont="1" applyFill="1" applyBorder="1" applyAlignment="1">
      <alignment horizontal="center" vertical="center"/>
    </xf>
    <xf numFmtId="0" fontId="28" fillId="2" borderId="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0" fillId="5" borderId="15" xfId="0" applyFont="1" applyFill="1" applyBorder="1" applyAlignment="1">
      <alignment horizontal="left" vertical="center" wrapText="1"/>
    </xf>
    <xf numFmtId="0" fontId="40" fillId="5" borderId="16" xfId="0" applyFont="1" applyFill="1" applyBorder="1" applyAlignment="1">
      <alignment horizontal="left" vertical="center" wrapText="1"/>
    </xf>
    <xf numFmtId="0" fontId="40" fillId="5" borderId="19" xfId="0" applyFont="1" applyFill="1" applyBorder="1" applyAlignment="1">
      <alignment horizontal="left" vertical="center" wrapText="1"/>
    </xf>
    <xf numFmtId="0" fontId="28" fillId="5" borderId="15" xfId="0" applyFont="1" applyFill="1" applyBorder="1" applyAlignment="1">
      <alignment horizontal="left" vertical="center" wrapText="1"/>
    </xf>
    <xf numFmtId="0" fontId="28" fillId="5" borderId="16" xfId="0" applyFont="1" applyFill="1" applyBorder="1" applyAlignment="1">
      <alignment horizontal="left" vertical="center" wrapText="1"/>
    </xf>
    <xf numFmtId="0" fontId="28" fillId="5" borderId="19" xfId="0" applyFont="1" applyFill="1" applyBorder="1" applyAlignment="1">
      <alignment horizontal="left" vertical="center" wrapText="1"/>
    </xf>
    <xf numFmtId="0" fontId="9" fillId="5" borderId="19" xfId="0" applyFont="1" applyFill="1" applyBorder="1" applyAlignment="1">
      <alignment horizontal="left" vertical="center" wrapText="1"/>
    </xf>
    <xf numFmtId="0" fontId="41" fillId="5" borderId="15" xfId="0" applyFont="1" applyFill="1" applyBorder="1" applyAlignment="1">
      <alignment horizontal="left" vertical="center" wrapText="1"/>
    </xf>
    <xf numFmtId="0" fontId="41" fillId="5" borderId="16" xfId="0" applyFont="1" applyFill="1" applyBorder="1" applyAlignment="1">
      <alignment horizontal="left" vertical="center" wrapText="1"/>
    </xf>
    <xf numFmtId="0" fontId="41" fillId="5" borderId="19" xfId="0" applyFont="1" applyFill="1" applyBorder="1" applyAlignment="1">
      <alignment horizontal="left" vertical="center" wrapText="1"/>
    </xf>
    <xf numFmtId="0" fontId="3" fillId="0" borderId="18" xfId="0" applyFont="1" applyBorder="1" applyAlignment="1">
      <alignment horizontal="center" vertical="center" wrapText="1"/>
    </xf>
    <xf numFmtId="0" fontId="33" fillId="15" borderId="1" xfId="0" applyFont="1" applyFill="1" applyBorder="1" applyAlignment="1">
      <alignment horizontal="left" vertical="center"/>
    </xf>
    <xf numFmtId="0" fontId="33" fillId="15" borderId="2" xfId="0" applyFont="1" applyFill="1" applyBorder="1" applyAlignment="1">
      <alignment horizontal="left" vertical="center"/>
    </xf>
    <xf numFmtId="0" fontId="53" fillId="5" borderId="5" xfId="0" applyFont="1" applyFill="1" applyBorder="1" applyAlignment="1">
      <alignment horizontal="center" vertical="center" wrapText="1"/>
    </xf>
    <xf numFmtId="0" fontId="53" fillId="5" borderId="0" xfId="0" applyFont="1" applyFill="1" applyBorder="1" applyAlignment="1">
      <alignment horizontal="center" vertical="center" wrapText="1"/>
    </xf>
    <xf numFmtId="0" fontId="53" fillId="5" borderId="17" xfId="0" applyFont="1" applyFill="1" applyBorder="1" applyAlignment="1">
      <alignment horizontal="center" vertical="center" wrapText="1"/>
    </xf>
    <xf numFmtId="0" fontId="8" fillId="13" borderId="16" xfId="0" applyFont="1" applyFill="1" applyBorder="1" applyAlignment="1">
      <alignment horizontal="center" vertical="center"/>
    </xf>
    <xf numFmtId="0" fontId="6" fillId="4" borderId="17" xfId="0" applyFont="1" applyFill="1" applyBorder="1" applyAlignment="1">
      <alignment horizontal="center" vertical="center" wrapText="1"/>
    </xf>
    <xf numFmtId="0" fontId="40" fillId="5" borderId="3" xfId="0" applyFont="1" applyFill="1" applyBorder="1" applyAlignment="1">
      <alignment horizontal="center" vertical="center" wrapText="1"/>
    </xf>
    <xf numFmtId="0" fontId="40" fillId="5" borderId="8" xfId="0" applyFont="1" applyFill="1" applyBorder="1" applyAlignment="1">
      <alignment horizontal="center" vertical="center" wrapText="1"/>
    </xf>
    <xf numFmtId="0" fontId="34" fillId="7" borderId="1" xfId="0" applyFont="1" applyFill="1" applyBorder="1" applyAlignment="1">
      <alignment horizontal="left" vertical="center"/>
    </xf>
    <xf numFmtId="0" fontId="34" fillId="7" borderId="2" xfId="0" applyFont="1" applyFill="1" applyBorder="1" applyAlignment="1">
      <alignment horizontal="left" vertical="center"/>
    </xf>
    <xf numFmtId="0" fontId="34" fillId="15" borderId="1" xfId="0" applyFont="1" applyFill="1" applyBorder="1" applyAlignment="1">
      <alignment horizontal="left" vertical="center"/>
    </xf>
    <xf numFmtId="0" fontId="34" fillId="15" borderId="2" xfId="0" applyFont="1" applyFill="1" applyBorder="1" applyAlignment="1">
      <alignment horizontal="left" vertical="center"/>
    </xf>
    <xf numFmtId="0" fontId="10" fillId="4" borderId="13" xfId="0" applyFont="1" applyFill="1" applyBorder="1" applyAlignment="1">
      <alignment horizontal="center" vertical="center" wrapText="1"/>
    </xf>
    <xf numFmtId="0" fontId="15" fillId="2" borderId="15" xfId="0" applyFont="1" applyFill="1" applyBorder="1" applyAlignment="1">
      <alignment horizontal="center" vertical="top" wrapText="1"/>
    </xf>
    <xf numFmtId="0" fontId="15" fillId="2" borderId="16" xfId="0" applyFont="1" applyFill="1" applyBorder="1" applyAlignment="1">
      <alignment horizontal="center" vertical="top" wrapText="1"/>
    </xf>
    <xf numFmtId="0" fontId="15" fillId="2" borderId="19" xfId="0" applyFont="1" applyFill="1" applyBorder="1" applyAlignment="1">
      <alignment horizontal="center" vertical="top" wrapText="1"/>
    </xf>
    <xf numFmtId="0" fontId="41" fillId="2" borderId="15" xfId="0" applyFont="1" applyFill="1" applyBorder="1" applyAlignment="1">
      <alignment horizontal="left" vertical="top" wrapText="1"/>
    </xf>
    <xf numFmtId="0" fontId="41" fillId="2" borderId="16" xfId="0" applyFont="1" applyFill="1" applyBorder="1" applyAlignment="1">
      <alignment horizontal="left" vertical="top" wrapText="1"/>
    </xf>
    <xf numFmtId="0" fontId="30" fillId="2" borderId="15" xfId="0" applyFont="1" applyFill="1" applyBorder="1" applyAlignment="1">
      <alignment horizontal="left" vertical="top" wrapText="1"/>
    </xf>
    <xf numFmtId="0" fontId="30" fillId="2" borderId="16" xfId="0" applyFont="1" applyFill="1" applyBorder="1" applyAlignment="1">
      <alignment horizontal="left" vertical="top" wrapText="1"/>
    </xf>
    <xf numFmtId="0" fontId="10" fillId="4" borderId="35"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30" fillId="5" borderId="15" xfId="0" applyFont="1" applyFill="1" applyBorder="1" applyAlignment="1">
      <alignment horizontal="left" vertical="center" wrapText="1"/>
    </xf>
    <xf numFmtId="0" fontId="30" fillId="5" borderId="16" xfId="0" applyFont="1" applyFill="1" applyBorder="1" applyAlignment="1">
      <alignment horizontal="left" vertical="center" wrapText="1"/>
    </xf>
    <xf numFmtId="0" fontId="30" fillId="5" borderId="19" xfId="0" applyFont="1" applyFill="1" applyBorder="1" applyAlignment="1">
      <alignment horizontal="left" vertical="center" wrapText="1"/>
    </xf>
    <xf numFmtId="0" fontId="40" fillId="5" borderId="15" xfId="0" applyFont="1" applyFill="1" applyBorder="1" applyAlignment="1">
      <alignment horizontal="left" vertical="top" wrapText="1"/>
    </xf>
    <xf numFmtId="0" fontId="40" fillId="5" borderId="16" xfId="0" applyFont="1" applyFill="1" applyBorder="1" applyAlignment="1">
      <alignment horizontal="left" vertical="top" wrapText="1"/>
    </xf>
    <xf numFmtId="0" fontId="40" fillId="5" borderId="4" xfId="0" applyFont="1" applyFill="1" applyBorder="1" applyAlignment="1">
      <alignment horizontal="center" vertical="center" wrapText="1"/>
    </xf>
    <xf numFmtId="0" fontId="40" fillId="5" borderId="5" xfId="0" applyFont="1" applyFill="1" applyBorder="1" applyAlignment="1">
      <alignment horizontal="center" vertical="center" wrapText="1"/>
    </xf>
    <xf numFmtId="0" fontId="40" fillId="5" borderId="13" xfId="0" applyFont="1" applyFill="1" applyBorder="1" applyAlignment="1">
      <alignment horizontal="center" vertical="center" wrapText="1"/>
    </xf>
    <xf numFmtId="0" fontId="40" fillId="5" borderId="7" xfId="0" applyFont="1" applyFill="1" applyBorder="1" applyAlignment="1">
      <alignment horizontal="center" vertical="center" wrapText="1"/>
    </xf>
    <xf numFmtId="0" fontId="40" fillId="5" borderId="17" xfId="0" applyFont="1" applyFill="1" applyBorder="1" applyAlignment="1">
      <alignment horizontal="center" vertical="center" wrapText="1"/>
    </xf>
    <xf numFmtId="0" fontId="40" fillId="5" borderId="9" xfId="0" applyFont="1" applyFill="1" applyBorder="1" applyAlignment="1">
      <alignment horizontal="center" vertical="center" wrapText="1"/>
    </xf>
    <xf numFmtId="10" fontId="62" fillId="9" borderId="49" xfId="1" applyNumberFormat="1" applyFont="1" applyFill="1" applyBorder="1" applyAlignment="1">
      <alignment horizontal="center" vertical="center" wrapText="1"/>
    </xf>
    <xf numFmtId="10" fontId="62" fillId="9" borderId="48" xfId="1" applyNumberFormat="1" applyFont="1" applyFill="1" applyBorder="1" applyAlignment="1">
      <alignment horizontal="center" vertical="center" wrapText="1"/>
    </xf>
    <xf numFmtId="10" fontId="0" fillId="0" borderId="22" xfId="0" applyNumberFormat="1" applyBorder="1" applyAlignment="1">
      <alignment horizontal="center" wrapText="1"/>
    </xf>
    <xf numFmtId="0" fontId="64" fillId="10" borderId="1" xfId="0" applyFont="1" applyFill="1" applyBorder="1" applyAlignment="1">
      <alignment horizontal="center" vertical="center" wrapText="1"/>
    </xf>
    <xf numFmtId="0" fontId="64" fillId="10" borderId="14" xfId="0" applyFont="1" applyFill="1" applyBorder="1" applyAlignment="1">
      <alignment horizontal="center" vertical="center" wrapText="1"/>
    </xf>
    <xf numFmtId="0" fontId="62" fillId="9" borderId="43" xfId="0" applyFont="1" applyFill="1" applyBorder="1" applyAlignment="1">
      <alignment horizontal="left" vertical="center"/>
    </xf>
    <xf numFmtId="0" fontId="62" fillId="9" borderId="44" xfId="0" applyFont="1" applyFill="1" applyBorder="1" applyAlignment="1">
      <alignment horizontal="left" vertical="center"/>
    </xf>
    <xf numFmtId="0" fontId="62" fillId="9" borderId="47" xfId="0" applyFont="1" applyFill="1" applyBorder="1" applyAlignment="1">
      <alignment horizontal="left" vertical="center"/>
    </xf>
    <xf numFmtId="0" fontId="62" fillId="9" borderId="48" xfId="0" applyFont="1" applyFill="1" applyBorder="1" applyAlignment="1">
      <alignment horizontal="left" vertical="center"/>
    </xf>
    <xf numFmtId="0" fontId="0" fillId="12" borderId="50" xfId="0" applyFill="1" applyBorder="1" applyAlignment="1">
      <alignment horizontal="center"/>
    </xf>
    <xf numFmtId="0" fontId="0" fillId="12" borderId="51" xfId="0" applyFill="1" applyBorder="1" applyAlignment="1">
      <alignment horizontal="center"/>
    </xf>
    <xf numFmtId="0" fontId="0" fillId="12" borderId="22" xfId="0" applyFill="1" applyBorder="1" applyAlignment="1">
      <alignment horizontal="center"/>
    </xf>
    <xf numFmtId="0" fontId="62" fillId="9" borderId="22" xfId="0" applyFont="1" applyFill="1" applyBorder="1" applyAlignment="1">
      <alignment horizontal="left" vertical="center" wrapText="1"/>
    </xf>
    <xf numFmtId="0" fontId="0" fillId="16" borderId="42" xfId="0" applyFill="1" applyBorder="1" applyAlignment="1">
      <alignment horizontal="center"/>
    </xf>
    <xf numFmtId="0" fontId="62" fillId="18" borderId="1" xfId="0" applyFont="1" applyFill="1" applyBorder="1" applyAlignment="1">
      <alignment horizontal="center" vertical="center"/>
    </xf>
    <xf numFmtId="0" fontId="62" fillId="18" borderId="37" xfId="0" applyFont="1" applyFill="1" applyBorder="1" applyAlignment="1">
      <alignment horizontal="center" vertical="center"/>
    </xf>
    <xf numFmtId="0" fontId="64" fillId="0" borderId="0" xfId="0" applyFont="1" applyAlignment="1">
      <alignment horizontal="center" vertical="center"/>
    </xf>
    <xf numFmtId="0" fontId="64" fillId="0" borderId="18" xfId="0" applyFont="1" applyBorder="1" applyAlignment="1">
      <alignment horizontal="center" vertical="center"/>
    </xf>
    <xf numFmtId="0" fontId="62" fillId="12" borderId="22" xfId="0" applyFont="1" applyFill="1" applyBorder="1" applyAlignment="1">
      <alignment horizontal="center" vertical="center"/>
    </xf>
    <xf numFmtId="0" fontId="62" fillId="12" borderId="1" xfId="0" applyFont="1" applyFill="1" applyBorder="1" applyAlignment="1">
      <alignment horizontal="center" vertical="center"/>
    </xf>
    <xf numFmtId="0" fontId="62" fillId="12" borderId="14" xfId="0" applyFont="1" applyFill="1" applyBorder="1" applyAlignment="1">
      <alignment horizontal="center" vertical="center"/>
    </xf>
    <xf numFmtId="0" fontId="0" fillId="17" borderId="22" xfId="0" applyFill="1" applyBorder="1" applyAlignment="1">
      <alignment horizontal="center" vertical="center" wrapText="1"/>
    </xf>
    <xf numFmtId="0" fontId="71" fillId="20" borderId="22" xfId="0" applyFont="1" applyFill="1" applyBorder="1" applyAlignment="1">
      <alignment horizontal="center" vertical="center" wrapText="1"/>
    </xf>
    <xf numFmtId="0" fontId="72" fillId="20" borderId="22" xfId="0" applyFont="1" applyFill="1" applyBorder="1" applyAlignment="1">
      <alignment horizontal="center" vertical="center" wrapText="1"/>
    </xf>
    <xf numFmtId="0" fontId="69" fillId="0" borderId="0" xfId="0" applyFont="1" applyAlignment="1">
      <alignment horizontal="center" vertical="center" readingOrder="1"/>
    </xf>
    <xf numFmtId="0" fontId="36" fillId="20" borderId="22" xfId="0" applyFont="1" applyFill="1" applyBorder="1" applyAlignment="1">
      <alignment horizontal="center" vertical="center"/>
    </xf>
    <xf numFmtId="0" fontId="70" fillId="20" borderId="53" xfId="0" applyFont="1" applyFill="1" applyBorder="1" applyAlignment="1">
      <alignment horizontal="center" vertical="center" wrapText="1"/>
    </xf>
    <xf numFmtId="0" fontId="70" fillId="20" borderId="42" xfId="0" applyFont="1" applyFill="1" applyBorder="1" applyAlignment="1">
      <alignment horizontal="center" vertical="center" wrapText="1"/>
    </xf>
    <xf numFmtId="0" fontId="61" fillId="21" borderId="49" xfId="0" applyFont="1" applyFill="1" applyBorder="1" applyAlignment="1">
      <alignment horizontal="center" vertical="center" wrapText="1"/>
    </xf>
    <xf numFmtId="0" fontId="61" fillId="21" borderId="48" xfId="0" applyFont="1" applyFill="1" applyBorder="1" applyAlignment="1">
      <alignment horizontal="center" vertical="center" wrapText="1"/>
    </xf>
    <xf numFmtId="0" fontId="0" fillId="22" borderId="22" xfId="0" applyFill="1" applyBorder="1" applyAlignment="1">
      <alignment horizontal="center" vertical="center" wrapText="1"/>
    </xf>
    <xf numFmtId="0" fontId="20" fillId="0" borderId="28" xfId="0" applyFont="1" applyBorder="1" applyAlignment="1">
      <alignment horizontal="center" vertical="center" wrapText="1"/>
    </xf>
    <xf numFmtId="0" fontId="20" fillId="0" borderId="18" xfId="0" applyFont="1" applyBorder="1" applyAlignment="1">
      <alignment horizontal="center" vertical="center" wrapText="1"/>
    </xf>
    <xf numFmtId="0" fontId="21" fillId="0" borderId="2" xfId="0" applyFont="1" applyBorder="1" applyAlignment="1">
      <alignment horizontal="left" vertical="center" wrapText="1"/>
    </xf>
    <xf numFmtId="0" fontId="21" fillId="0" borderId="14" xfId="0" applyFont="1" applyBorder="1" applyAlignment="1">
      <alignment horizontal="left" vertical="center" wrapText="1"/>
    </xf>
    <xf numFmtId="0" fontId="7" fillId="0" borderId="29" xfId="0" applyFont="1" applyBorder="1" applyAlignment="1">
      <alignment vertical="center" wrapText="1"/>
    </xf>
    <xf numFmtId="0" fontId="7" fillId="0" borderId="14" xfId="0" applyFont="1" applyBorder="1" applyAlignment="1">
      <alignment vertical="center" wrapText="1"/>
    </xf>
    <xf numFmtId="0" fontId="7" fillId="0" borderId="31" xfId="0" applyFont="1" applyBorder="1" applyAlignment="1">
      <alignment vertical="center" wrapText="1"/>
    </xf>
    <xf numFmtId="0" fontId="7" fillId="0" borderId="32" xfId="0" applyFont="1" applyBorder="1" applyAlignment="1">
      <alignment vertical="center" wrapText="1"/>
    </xf>
    <xf numFmtId="0" fontId="19" fillId="10" borderId="29" xfId="0" applyFont="1" applyFill="1" applyBorder="1" applyAlignment="1">
      <alignment horizontal="center" vertical="center" wrapText="1"/>
    </xf>
    <xf numFmtId="0" fontId="19" fillId="10" borderId="14" xfId="0" applyFont="1" applyFill="1" applyBorder="1" applyAlignment="1">
      <alignment horizontal="center" vertical="center" wrapText="1"/>
    </xf>
    <xf numFmtId="0" fontId="22" fillId="11" borderId="30" xfId="0" applyFont="1" applyFill="1" applyBorder="1" applyAlignment="1">
      <alignment horizontal="left" vertical="center"/>
    </xf>
    <xf numFmtId="0" fontId="22" fillId="11" borderId="0" xfId="0" applyFont="1" applyFill="1" applyAlignment="1">
      <alignment horizontal="left" vertical="center"/>
    </xf>
    <xf numFmtId="0" fontId="22" fillId="11" borderId="28" xfId="0" applyFont="1" applyFill="1" applyBorder="1" applyAlignment="1">
      <alignment horizontal="left" vertical="center" wrapText="1"/>
    </xf>
    <xf numFmtId="0" fontId="22" fillId="11" borderId="18" xfId="0" applyFont="1" applyFill="1" applyBorder="1" applyAlignment="1">
      <alignment horizontal="left" vertical="center" wrapText="1"/>
    </xf>
    <xf numFmtId="0" fontId="7" fillId="0" borderId="33" xfId="0" applyFont="1" applyBorder="1" applyAlignment="1">
      <alignment vertical="center" wrapText="1"/>
    </xf>
    <xf numFmtId="0" fontId="7" fillId="0" borderId="26" xfId="0" applyFont="1" applyBorder="1" applyAlignment="1">
      <alignment vertical="center" wrapText="1"/>
    </xf>
    <xf numFmtId="0" fontId="7" fillId="0" borderId="30"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7" fillId="0" borderId="25" xfId="0" applyFont="1" applyBorder="1" applyAlignment="1">
      <alignment vertical="center" wrapText="1"/>
    </xf>
    <xf numFmtId="0" fontId="22" fillId="11" borderId="0" xfId="0" applyFont="1" applyFill="1" applyBorder="1" applyAlignment="1">
      <alignment horizontal="left" vertical="center"/>
    </xf>
    <xf numFmtId="0" fontId="43" fillId="0" borderId="34" xfId="0" applyFont="1" applyBorder="1" applyAlignment="1">
      <alignment horizontal="left" vertical="top" wrapText="1" readingOrder="1"/>
    </xf>
    <xf numFmtId="4" fontId="43" fillId="0" borderId="34" xfId="0" applyNumberFormat="1" applyFont="1" applyBorder="1" applyAlignment="1">
      <alignment horizontal="right" vertical="top"/>
    </xf>
    <xf numFmtId="0" fontId="44" fillId="0" borderId="0" xfId="0" applyFont="1" applyAlignment="1">
      <alignment horizontal="center" vertical="top" wrapText="1" readingOrder="1"/>
    </xf>
    <xf numFmtId="0" fontId="7" fillId="12" borderId="15" xfId="0" applyFont="1" applyFill="1" applyBorder="1" applyAlignment="1">
      <alignment horizontal="left" vertical="top" wrapText="1"/>
    </xf>
    <xf numFmtId="0" fontId="7" fillId="12" borderId="16" xfId="0" applyFont="1" applyFill="1" applyBorder="1" applyAlignment="1">
      <alignment horizontal="left" vertical="top" wrapText="1"/>
    </xf>
    <xf numFmtId="0" fontId="7" fillId="12" borderId="19" xfId="0" applyFont="1" applyFill="1" applyBorder="1" applyAlignment="1">
      <alignment horizontal="left" vertical="top" wrapText="1"/>
    </xf>
    <xf numFmtId="0" fontId="7" fillId="10" borderId="4" xfId="0" applyFont="1" applyFill="1" applyBorder="1" applyAlignment="1">
      <alignment horizontal="center" vertical="top" wrapText="1"/>
    </xf>
    <xf numFmtId="0" fontId="7" fillId="10" borderId="13" xfId="0" applyFont="1" applyFill="1" applyBorder="1" applyAlignment="1">
      <alignment horizontal="center" vertical="top" wrapText="1"/>
    </xf>
    <xf numFmtId="167" fontId="60" fillId="2" borderId="4" xfId="1" applyNumberFormat="1" applyFont="1" applyFill="1" applyBorder="1" applyAlignment="1">
      <alignment horizontal="left" vertical="top" wrapText="1"/>
    </xf>
    <xf numFmtId="0" fontId="41"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10" fontId="61" fillId="9" borderId="0" xfId="1" applyNumberFormat="1" applyFont="1" applyFill="1" applyAlignment="1">
      <alignment wrapText="1"/>
    </xf>
    <xf numFmtId="169" fontId="61" fillId="9" borderId="0" xfId="0" applyNumberFormat="1" applyFont="1" applyFill="1" applyAlignment="1">
      <alignment wrapText="1"/>
    </xf>
    <xf numFmtId="0" fontId="61" fillId="9" borderId="0" xfId="0" applyFont="1" applyFill="1" applyAlignment="1">
      <alignment wrapText="1"/>
    </xf>
    <xf numFmtId="43" fontId="75" fillId="9" borderId="0" xfId="0" applyNumberFormat="1" applyFont="1" applyFill="1"/>
    <xf numFmtId="0" fontId="15" fillId="2" borderId="4" xfId="0" applyFont="1" applyFill="1" applyBorder="1" applyAlignment="1">
      <alignment horizontal="center" vertical="top" wrapText="1"/>
    </xf>
    <xf numFmtId="0" fontId="30" fillId="2" borderId="19" xfId="0" applyFont="1" applyFill="1" applyBorder="1" applyAlignment="1">
      <alignment vertical="top" wrapText="1"/>
    </xf>
    <xf numFmtId="0" fontId="41" fillId="2" borderId="19" xfId="0" applyFont="1" applyFill="1" applyBorder="1" applyAlignment="1">
      <alignment vertical="top" wrapText="1"/>
    </xf>
    <xf numFmtId="0" fontId="76" fillId="9" borderId="0" xfId="0" applyFont="1" applyFill="1"/>
    <xf numFmtId="0" fontId="77" fillId="9" borderId="0" xfId="0" applyFont="1" applyFill="1"/>
    <xf numFmtId="0" fontId="78" fillId="9" borderId="0" xfId="0" applyFont="1" applyFill="1"/>
    <xf numFmtId="0" fontId="79" fillId="9" borderId="0" xfId="0" applyFont="1" applyFill="1" applyAlignment="1">
      <alignment vertical="center"/>
    </xf>
    <xf numFmtId="0" fontId="61" fillId="9" borderId="0" xfId="0" applyFont="1" applyFill="1"/>
    <xf numFmtId="0" fontId="80" fillId="9" borderId="0" xfId="0" applyFont="1" applyFill="1"/>
    <xf numFmtId="0" fontId="61" fillId="9" borderId="0" xfId="0" applyFont="1" applyFill="1" applyAlignment="1">
      <alignment vertical="top"/>
    </xf>
    <xf numFmtId="43" fontId="61" fillId="9" borderId="0" xfId="0" applyNumberFormat="1" applyFont="1" applyFill="1"/>
    <xf numFmtId="0" fontId="61" fillId="9" borderId="0" xfId="0" applyFont="1" applyFill="1" applyAlignment="1">
      <alignment horizontal="center"/>
    </xf>
    <xf numFmtId="0" fontId="28" fillId="2" borderId="3" xfId="0" applyFont="1" applyFill="1" applyBorder="1" applyAlignment="1">
      <alignment vertical="top" wrapText="1"/>
    </xf>
  </cellXfs>
  <cellStyles count="14">
    <cellStyle name="Hipervínculo" xfId="12" builtinId="8"/>
    <cellStyle name="Millares" xfId="3" builtinId="3"/>
    <cellStyle name="Millares [0] 2" xfId="4" xr:uid="{2FD56FEF-1BE3-4AEF-A615-CCEB5498EDA7}"/>
    <cellStyle name="Millares [0] 3" xfId="6" xr:uid="{6B56AB01-8549-4118-A2B0-1378ED22A9BC}"/>
    <cellStyle name="Millares 2" xfId="13" xr:uid="{C16CDF6A-1BF8-4EF2-B45B-155F2582B009}"/>
    <cellStyle name="Moneda" xfId="2" builtinId="4"/>
    <cellStyle name="Moneda 2" xfId="11" xr:uid="{8AC5E459-2369-4DD7-B2FB-340A74F2B96E}"/>
    <cellStyle name="Normal" xfId="0" builtinId="0"/>
    <cellStyle name="Normal 2" xfId="5" xr:uid="{CD3947BE-37B5-4FCC-A13D-B2701AB688DA}"/>
    <cellStyle name="Normal 2 2" xfId="9" xr:uid="{011959C2-CDAD-4BEF-BDD4-1981A7187124}"/>
    <cellStyle name="Normal 4" xfId="8" xr:uid="{872B27D1-1E51-48F9-A2A1-57B78427C831}"/>
    <cellStyle name="Normal 5" xfId="10" xr:uid="{504BBE9D-2482-445A-A496-2151C1F085C1}"/>
    <cellStyle name="Normal 6 2" xfId="7" xr:uid="{B8176A1F-185B-4642-A779-7E3530A2AFED}"/>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300" b="1"/>
              <a:t>       </a:t>
            </a:r>
            <a:r>
              <a:rPr lang="es-CR" sz="1300" b="1" baseline="0"/>
              <a:t>  </a:t>
            </a:r>
            <a:r>
              <a:rPr lang="es-CR" sz="1300" b="1"/>
              <a:t>Gráfico N°</a:t>
            </a:r>
            <a:r>
              <a:rPr lang="es-CR" sz="1300" b="1" baseline="0"/>
              <a:t> 2</a:t>
            </a:r>
            <a:r>
              <a:rPr lang="es-CR" sz="1300" b="1"/>
              <a:t> -A                                                                                                           </a:t>
            </a:r>
            <a:r>
              <a:rPr lang="es-CR" sz="1300" b="1" i="0" u="none" strike="noStrike" kern="1200" spc="0" baseline="0">
                <a:solidFill>
                  <a:sysClr val="windowText" lastClr="000000">
                    <a:lumMod val="65000"/>
                    <a:lumOff val="35000"/>
                  </a:sysClr>
                </a:solidFill>
                <a:latin typeface="+mn-lt"/>
                <a:ea typeface="+mn-ea"/>
                <a:cs typeface="+mn-cs"/>
              </a:rPr>
              <a:t>Resumen Presupuestario Programa I</a:t>
            </a:r>
          </a:p>
          <a:p>
            <a:pPr>
              <a:defRPr/>
            </a:pPr>
            <a:r>
              <a:rPr lang="es-CR" sz="1300" b="1" i="0" u="none" strike="noStrike" kern="1200" spc="0" baseline="0">
                <a:solidFill>
                  <a:sysClr val="windowText" lastClr="000000">
                    <a:lumMod val="65000"/>
                    <a:lumOff val="35000"/>
                  </a:sysClr>
                </a:solidFill>
                <a:latin typeface="+mn-lt"/>
                <a:ea typeface="+mn-ea"/>
                <a:cs typeface="+mn-cs"/>
              </a:rPr>
              <a:t> </a:t>
            </a:r>
            <a:r>
              <a:rPr lang="es-CR" sz="1400" b="1" i="0" u="none" strike="noStrike" baseline="0">
                <a:effectLst/>
              </a:rPr>
              <a:t>III EVALUACIÓN TRIMESTRAL POI -IFAM 2020                                                  </a:t>
            </a:r>
            <a:endParaRPr lang="es-CR" sz="1300" b="1" i="0" u="none" strike="noStrike" kern="1200" spc="0" baseline="0">
              <a:solidFill>
                <a:sysClr val="windowText" lastClr="000000">
                  <a:lumMod val="65000"/>
                  <a:lumOff val="35000"/>
                </a:sysClr>
              </a:solidFill>
              <a:latin typeface="+mn-lt"/>
              <a:ea typeface="+mn-ea"/>
              <a:cs typeface="+mn-cs"/>
            </a:endParaRPr>
          </a:p>
        </c:rich>
      </c:tx>
      <c:layout>
        <c:manualLayout>
          <c:xMode val="edge"/>
          <c:yMode val="edge"/>
          <c:x val="0.20225611693676521"/>
          <c:y val="2.8957528957528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manualLayout>
          <c:layoutTarget val="inner"/>
          <c:xMode val="edge"/>
          <c:yMode val="edge"/>
          <c:x val="0.145921355867102"/>
          <c:y val="0.27345942192898526"/>
          <c:w val="0.40845768516740294"/>
          <c:h val="0.7265405780710148"/>
        </c:manualLayout>
      </c:layout>
      <c:doughnut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6119-4484-B1A2-D4EB3C0951F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6119-4484-B1A2-D4EB3C0951F2}"/>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6119-4484-B1A2-D4EB3C0951F2}"/>
              </c:ext>
            </c:extLst>
          </c:dPt>
          <c:dPt>
            <c:idx val="3"/>
            <c:bubble3D val="0"/>
            <c:spPr>
              <a:solidFill>
                <a:schemeClr val="accent4">
                  <a:lumMod val="60000"/>
                  <a:lumOff val="40000"/>
                </a:schemeClr>
              </a:solidFill>
              <a:ln w="19050">
                <a:solidFill>
                  <a:schemeClr val="accent4">
                    <a:lumMod val="60000"/>
                    <a:lumOff val="40000"/>
                    <a:alpha val="99000"/>
                  </a:schemeClr>
                </a:solidFill>
              </a:ln>
              <a:effectLst/>
            </c:spPr>
            <c:extLst>
              <c:ext xmlns:c16="http://schemas.microsoft.com/office/drawing/2014/chart" uri="{C3380CC4-5D6E-409C-BE32-E72D297353CC}">
                <c16:uniqueId val="{00000007-6119-4484-B1A2-D4EB3C0951F2}"/>
              </c:ext>
            </c:extLst>
          </c:dPt>
          <c:dPt>
            <c:idx val="4"/>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9-6119-4484-B1A2-D4EB3C0951F2}"/>
              </c:ext>
            </c:extLst>
          </c:dPt>
          <c:dPt>
            <c:idx val="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B-6119-4484-B1A2-D4EB3C0951F2}"/>
              </c:ext>
            </c:extLst>
          </c:dPt>
          <c:dPt>
            <c:idx val="6"/>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D-6119-4484-B1A2-D4EB3C0951F2}"/>
              </c:ext>
            </c:extLst>
          </c:dPt>
          <c:dPt>
            <c:idx val="7"/>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F-6119-4484-B1A2-D4EB3C0951F2}"/>
              </c:ext>
            </c:extLst>
          </c:dPt>
          <c:dPt>
            <c:idx val="8"/>
            <c:bubble3D val="0"/>
            <c:spPr>
              <a:solidFill>
                <a:srgbClr val="92D050"/>
              </a:solidFill>
              <a:ln w="19050">
                <a:solidFill>
                  <a:schemeClr val="lt1"/>
                </a:solidFill>
              </a:ln>
              <a:effectLst/>
            </c:spPr>
            <c:extLst>
              <c:ext xmlns:c16="http://schemas.microsoft.com/office/drawing/2014/chart" uri="{C3380CC4-5D6E-409C-BE32-E72D297353CC}">
                <c16:uniqueId val="{00000011-6119-4484-B1A2-D4EB3C0951F2}"/>
              </c:ext>
            </c:extLst>
          </c:dPt>
          <c:dPt>
            <c:idx val="9"/>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3-6119-4484-B1A2-D4EB3C0951F2}"/>
              </c:ext>
            </c:extLst>
          </c:dPt>
          <c:dPt>
            <c:idx val="10"/>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15-6119-4484-B1A2-D4EB3C0951F2}"/>
              </c:ext>
            </c:extLst>
          </c:dPt>
          <c:dPt>
            <c:idx val="1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17-6119-4484-B1A2-D4EB3C0951F2}"/>
              </c:ext>
            </c:extLst>
          </c:dPt>
          <c:dPt>
            <c:idx val="1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9-6119-4484-B1A2-D4EB3C0951F2}"/>
              </c:ext>
            </c:extLst>
          </c:dPt>
          <c:dPt>
            <c:idx val="13"/>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1B-6119-4484-B1A2-D4EB3C0951F2}"/>
              </c:ext>
            </c:extLst>
          </c:dPt>
          <c:dPt>
            <c:idx val="14"/>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D-6119-4484-B1A2-D4EB3C0951F2}"/>
              </c:ext>
            </c:extLst>
          </c:dPt>
          <c:dPt>
            <c:idx val="15"/>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1F-6119-4484-B1A2-D4EB3C0951F2}"/>
              </c:ext>
            </c:extLst>
          </c:dPt>
          <c:dLbls>
            <c:dLbl>
              <c:idx val="0"/>
              <c:layout>
                <c:manualLayout>
                  <c:x val="-6.5040650406504072E-2"/>
                  <c:y val="-0.122921150835752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19-4484-B1A2-D4EB3C0951F2}"/>
                </c:ext>
              </c:extLst>
            </c:dLbl>
            <c:dLbl>
              <c:idx val="1"/>
              <c:layout>
                <c:manualLayout>
                  <c:x val="7.1451058782360105E-3"/>
                  <c:y val="-0.166047390829099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19-4484-B1A2-D4EB3C0951F2}"/>
                </c:ext>
              </c:extLst>
            </c:dLbl>
            <c:dLbl>
              <c:idx val="2"/>
              <c:layout>
                <c:manualLayout>
                  <c:x val="7.7235772357723581E-2"/>
                  <c:y val="-0.133767134733025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19-4484-B1A2-D4EB3C0951F2}"/>
                </c:ext>
              </c:extLst>
            </c:dLbl>
            <c:dLbl>
              <c:idx val="3"/>
              <c:layout>
                <c:manualLayout>
                  <c:x val="6.910569105691057E-2"/>
                  <c:y val="-8.676787117817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19-4484-B1A2-D4EB3C0951F2}"/>
                </c:ext>
              </c:extLst>
            </c:dLbl>
            <c:dLbl>
              <c:idx val="4"/>
              <c:layout>
                <c:manualLayout>
                  <c:x val="8.130081300813001E-2"/>
                  <c:y val="-5.7845247452118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119-4484-B1A2-D4EB3C0951F2}"/>
                </c:ext>
              </c:extLst>
            </c:dLbl>
            <c:dLbl>
              <c:idx val="5"/>
              <c:layout>
                <c:manualLayout>
                  <c:x val="8.7398373983739841E-2"/>
                  <c:y val="-3.25379516918169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119-4484-B1A2-D4EB3C0951F2}"/>
                </c:ext>
              </c:extLst>
            </c:dLbl>
            <c:dLbl>
              <c:idx val="6"/>
              <c:layout>
                <c:manualLayout>
                  <c:x val="0.10772357723577228"/>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119-4484-B1A2-D4EB3C0951F2}"/>
                </c:ext>
              </c:extLst>
            </c:dLbl>
            <c:dLbl>
              <c:idx val="7"/>
              <c:layout>
                <c:manualLayout>
                  <c:x val="0.14256177581460855"/>
                  <c:y val="2.574028110171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19-4484-B1A2-D4EB3C0951F2}"/>
                </c:ext>
              </c:extLst>
            </c:dLbl>
            <c:dLbl>
              <c:idx val="8"/>
              <c:layout>
                <c:manualLayout>
                  <c:x val="-0.12202131745726907"/>
                  <c:y val="-0.224875961513552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119-4484-B1A2-D4EB3C0951F2}"/>
                </c:ext>
              </c:extLst>
            </c:dLbl>
            <c:dLbl>
              <c:idx val="10"/>
              <c:layout>
                <c:manualLayout>
                  <c:x val="1.8579235612210684E-3"/>
                  <c:y val="0.102475477609242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119-4484-B1A2-D4EB3C0951F2}"/>
                </c:ext>
              </c:extLst>
            </c:dLbl>
            <c:dLbl>
              <c:idx val="11"/>
              <c:layout>
                <c:manualLayout>
                  <c:x val="-0.1003278723059377"/>
                  <c:y val="-2.73267940291313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119-4484-B1A2-D4EB3C0951F2}"/>
                </c:ext>
              </c:extLst>
            </c:dLbl>
            <c:dLbl>
              <c:idx val="12"/>
              <c:layout>
                <c:manualLayout>
                  <c:x val="-6.8743171765179523E-2"/>
                  <c:y val="-6.3762519401306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119-4484-B1A2-D4EB3C0951F2}"/>
                </c:ext>
              </c:extLst>
            </c:dLbl>
            <c:dLbl>
              <c:idx val="13"/>
              <c:layout>
                <c:manualLayout>
                  <c:x val="-9.6612025183495556E-2"/>
                  <c:y val="-9.56437791019597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119-4484-B1A2-D4EB3C0951F2}"/>
                </c:ext>
              </c:extLst>
            </c:dLbl>
            <c:dLbl>
              <c:idx val="14"/>
              <c:layout>
                <c:manualLayout>
                  <c:x val="-7.2459018887621671E-2"/>
                  <c:y val="-7.28714507443503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119-4484-B1A2-D4EB3C0951F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0"/>
            <c:showCatName val="0"/>
            <c:showSerName val="0"/>
            <c:showPercent val="0"/>
            <c:showBubbleSize val="0"/>
            <c:extLst>
              <c:ext xmlns:c15="http://schemas.microsoft.com/office/drawing/2012/chart" uri="{CE6537A1-D6FC-4f65-9D91-7224C49458BB}"/>
            </c:extLst>
          </c:dLbls>
          <c:cat>
            <c:strRef>
              <c:f>'RESUMEN Y GRÁFICOS'!$B$24:$B$33</c:f>
              <c:strCache>
                <c:ptCount val="9"/>
                <c:pt idx="0">
                  <c:v>JUNTA DIRECTIVA</c:v>
                </c:pt>
                <c:pt idx="1">
                  <c:v>AUDITORÍA INTERNA </c:v>
                </c:pt>
                <c:pt idx="2">
                  <c:v>CONTRALORÍA DE SERVICIOS </c:v>
                </c:pt>
                <c:pt idx="3">
                  <c:v>PRESIDENCIA EJECUTIVA </c:v>
                </c:pt>
                <c:pt idx="4">
                  <c:v>ASESORÍA JURÍDICA </c:v>
                </c:pt>
                <c:pt idx="5">
                  <c:v>PLANIFICACIÓN INSTITUCIONAL </c:v>
                </c:pt>
                <c:pt idx="6">
                  <c:v>DIRECCIÓN EJECUTIVA </c:v>
                </c:pt>
                <c:pt idx="7">
                  <c:v>ADMINISTRACIÓN HACENDARIA </c:v>
                </c:pt>
                <c:pt idx="8">
                  <c:v>DEPARTAMENTO ADMINISTRATIVO </c:v>
                </c:pt>
              </c:strCache>
            </c:strRef>
          </c:cat>
          <c:val>
            <c:numRef>
              <c:f>'RESUMEN Y GRÁFICOS'!$E$24:$E$33</c:f>
              <c:numCache>
                <c:formatCode>0.00%</c:formatCode>
                <c:ptCount val="9"/>
                <c:pt idx="0">
                  <c:v>8.0363965203713947E-3</c:v>
                </c:pt>
                <c:pt idx="1">
                  <c:v>1.7996620353339474E-2</c:v>
                </c:pt>
                <c:pt idx="2">
                  <c:v>1.152442228697673E-3</c:v>
                </c:pt>
                <c:pt idx="3">
                  <c:v>0.18158975721210147</c:v>
                </c:pt>
                <c:pt idx="4">
                  <c:v>2.3041239029518264E-2</c:v>
                </c:pt>
                <c:pt idx="5">
                  <c:v>1.0956369826778807E-2</c:v>
                </c:pt>
                <c:pt idx="6">
                  <c:v>1.7871314667014349E-2</c:v>
                </c:pt>
                <c:pt idx="7">
                  <c:v>0.57619288687853976</c:v>
                </c:pt>
                <c:pt idx="8">
                  <c:v>0.16316297328363874</c:v>
                </c:pt>
              </c:numCache>
            </c:numRef>
          </c:val>
          <c:extLst>
            <c:ext xmlns:c16="http://schemas.microsoft.com/office/drawing/2014/chart" uri="{C3380CC4-5D6E-409C-BE32-E72D297353CC}">
              <c16:uniqueId val="{00000020-6119-4484-B1A2-D4EB3C0951F2}"/>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ayout>
        <c:manualLayout>
          <c:xMode val="edge"/>
          <c:yMode val="edge"/>
          <c:x val="0.69896188796657199"/>
          <c:y val="0.23357694570830681"/>
          <c:w val="0.30103818577555852"/>
          <c:h val="0.66883738169408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800" b="1" i="0" baseline="0">
                <a:effectLst/>
              </a:rPr>
              <a:t>Gráfico N°8                                                                                                            </a:t>
            </a:r>
            <a:endParaRPr lang="es-CR">
              <a:effectLst/>
            </a:endParaRPr>
          </a:p>
          <a:p>
            <a:pPr>
              <a:defRPr/>
            </a:pPr>
            <a:r>
              <a:rPr lang="es-CR" sz="1800" b="1" i="0" baseline="0">
                <a:effectLst/>
              </a:rPr>
              <a:t> Ejecución Fisica General (por cantidad de metas)</a:t>
            </a:r>
            <a:endParaRPr lang="es-CR">
              <a:effectLst/>
            </a:endParaRPr>
          </a:p>
          <a:p>
            <a:pPr>
              <a:defRPr/>
            </a:pPr>
            <a:r>
              <a:rPr lang="es-CR" sz="1800" b="1" i="0" baseline="0">
                <a:effectLst/>
              </a:rPr>
              <a:t>III EVALUACIÓN TRIMESTRAL POI -IFAM 2020 </a:t>
            </a:r>
            <a:endParaRPr lang="es-CR">
              <a:effectLst/>
            </a:endParaRPr>
          </a:p>
          <a:p>
            <a:pPr>
              <a:defRPr/>
            </a:pPr>
            <a:endParaRPr lang="es-C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manualLayout>
          <c:layoutTarget val="inner"/>
          <c:xMode val="edge"/>
          <c:yMode val="edge"/>
          <c:x val="5.2692038495188109E-2"/>
          <c:y val="0.23748933955100668"/>
          <c:w val="0.90286351706036749"/>
          <c:h val="0.5542218717556856"/>
        </c:manualLayout>
      </c:layout>
      <c:barChart>
        <c:barDir val="col"/>
        <c:grouping val="clustered"/>
        <c:varyColors val="0"/>
        <c:ser>
          <c:idx val="0"/>
          <c:order val="0"/>
          <c:tx>
            <c:strRef>
              <c:f>'RESUMEN Y GRÁFICOS'!$C$75</c:f>
              <c:strCache>
                <c:ptCount val="1"/>
                <c:pt idx="0">
                  <c:v>PROGRAMA 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Y GRÁFICOS'!$E$74,'RESUMEN Y GRÁFICOS'!$G$74,'RESUMEN Y GRÁFICOS'!$I$74)</c:f>
              <c:strCache>
                <c:ptCount val="3"/>
                <c:pt idx="0">
                  <c:v>Metas con baja    Ejecución 0% a 25%</c:v>
                </c:pt>
                <c:pt idx="1">
                  <c:v>Metas con Ejecución media  26% a 70%</c:v>
                </c:pt>
                <c:pt idx="2">
                  <c:v>Metas con Ejecución al corte 70% a 100%</c:v>
                </c:pt>
              </c:strCache>
            </c:strRef>
          </c:cat>
          <c:val>
            <c:numRef>
              <c:f>('RESUMEN Y GRÁFICOS'!$E$75,'RESUMEN Y GRÁFICOS'!$G$75,'RESUMEN Y GRÁFICOS'!$I$75)</c:f>
              <c:numCache>
                <c:formatCode>General</c:formatCode>
                <c:ptCount val="3"/>
                <c:pt idx="0">
                  <c:v>2</c:v>
                </c:pt>
                <c:pt idx="1">
                  <c:v>2</c:v>
                </c:pt>
                <c:pt idx="2">
                  <c:v>18</c:v>
                </c:pt>
              </c:numCache>
            </c:numRef>
          </c:val>
          <c:extLst>
            <c:ext xmlns:c16="http://schemas.microsoft.com/office/drawing/2014/chart" uri="{C3380CC4-5D6E-409C-BE32-E72D297353CC}">
              <c16:uniqueId val="{00000000-DC93-4C52-874D-D328E1241A34}"/>
            </c:ext>
          </c:extLst>
        </c:ser>
        <c:ser>
          <c:idx val="1"/>
          <c:order val="1"/>
          <c:tx>
            <c:strRef>
              <c:f>'RESUMEN Y GRÁFICOS'!$C$76</c:f>
              <c:strCache>
                <c:ptCount val="1"/>
                <c:pt idx="0">
                  <c:v>PROGRAMA II</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Y GRÁFICOS'!$E$74,'RESUMEN Y GRÁFICOS'!$G$74,'RESUMEN Y GRÁFICOS'!$I$74)</c:f>
              <c:strCache>
                <c:ptCount val="3"/>
                <c:pt idx="0">
                  <c:v>Metas con baja    Ejecución 0% a 25%</c:v>
                </c:pt>
                <c:pt idx="1">
                  <c:v>Metas con Ejecución media  26% a 70%</c:v>
                </c:pt>
                <c:pt idx="2">
                  <c:v>Metas con Ejecución al corte 70% a 100%</c:v>
                </c:pt>
              </c:strCache>
            </c:strRef>
          </c:cat>
          <c:val>
            <c:numRef>
              <c:f>('RESUMEN Y GRÁFICOS'!$E$76,'RESUMEN Y GRÁFICOS'!$G$76,'RESUMEN Y GRÁFICOS'!$I$76)</c:f>
              <c:numCache>
                <c:formatCode>General</c:formatCode>
                <c:ptCount val="3"/>
                <c:pt idx="0">
                  <c:v>8</c:v>
                </c:pt>
                <c:pt idx="1">
                  <c:v>5</c:v>
                </c:pt>
                <c:pt idx="2">
                  <c:v>5</c:v>
                </c:pt>
              </c:numCache>
            </c:numRef>
          </c:val>
          <c:extLst>
            <c:ext xmlns:c16="http://schemas.microsoft.com/office/drawing/2014/chart" uri="{C3380CC4-5D6E-409C-BE32-E72D297353CC}">
              <c16:uniqueId val="{00000001-DC93-4C52-874D-D328E1241A34}"/>
            </c:ext>
          </c:extLst>
        </c:ser>
        <c:dLbls>
          <c:showLegendKey val="0"/>
          <c:showVal val="0"/>
          <c:showCatName val="0"/>
          <c:showSerName val="0"/>
          <c:showPercent val="0"/>
          <c:showBubbleSize val="0"/>
        </c:dLbls>
        <c:gapWidth val="219"/>
        <c:overlap val="-27"/>
        <c:axId val="750144864"/>
        <c:axId val="750145848"/>
      </c:barChart>
      <c:catAx>
        <c:axId val="75014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750145848"/>
        <c:crosses val="autoZero"/>
        <c:auto val="1"/>
        <c:lblAlgn val="ctr"/>
        <c:lblOffset val="100"/>
        <c:noMultiLvlLbl val="0"/>
      </c:catAx>
      <c:valAx>
        <c:axId val="750145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750144864"/>
        <c:crosses val="autoZero"/>
        <c:crossBetween val="between"/>
      </c:valAx>
      <c:spPr>
        <a:noFill/>
        <a:ln>
          <a:noFill/>
        </a:ln>
        <a:effectLst/>
      </c:spPr>
    </c:plotArea>
    <c:legend>
      <c:legendPos val="b"/>
      <c:layout>
        <c:manualLayout>
          <c:xMode val="edge"/>
          <c:yMode val="edge"/>
          <c:x val="0.85886751243612491"/>
          <c:y val="0.43255266958070554"/>
          <c:w val="0.14113248756387517"/>
          <c:h val="0.148272351609786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800" b="1" i="0" baseline="0">
                <a:effectLst/>
              </a:rPr>
              <a:t>Gráfico N°8                                                                                                            </a:t>
            </a:r>
            <a:endParaRPr lang="es-CR">
              <a:effectLst/>
            </a:endParaRPr>
          </a:p>
          <a:p>
            <a:pPr>
              <a:defRPr/>
            </a:pPr>
            <a:r>
              <a:rPr lang="es-CR" sz="1800" b="1" i="0" baseline="0">
                <a:effectLst/>
              </a:rPr>
              <a:t> Comparativo de Ejecución Fisica de metas 2019-2020 EVALUACIÓN TRIMESTRAL POI -IFAM 2020 </a:t>
            </a:r>
            <a:endParaRPr lang="es-CR">
              <a:effectLst/>
            </a:endParaRPr>
          </a:p>
          <a:p>
            <a:pPr>
              <a:defRPr/>
            </a:pPr>
            <a:endParaRPr lang="es-C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manualLayout>
          <c:layoutTarget val="inner"/>
          <c:xMode val="edge"/>
          <c:yMode val="edge"/>
          <c:x val="7.8439835865587226E-2"/>
          <c:y val="0.26853054101794771"/>
          <c:w val="0.77695922516727667"/>
          <c:h val="0.61136941050131377"/>
        </c:manualLayout>
      </c:layout>
      <c:barChart>
        <c:barDir val="col"/>
        <c:grouping val="clustered"/>
        <c:varyColors val="0"/>
        <c:ser>
          <c:idx val="2"/>
          <c:order val="2"/>
          <c:tx>
            <c:strRef>
              <c:f>'RESUMEN Y GRÁFICOS'!$P$77</c:f>
              <c:strCache>
                <c:ptCount val="1"/>
                <c:pt idx="0">
                  <c:v>2020</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Y GRÁFICOS'!$M$78:$M$80</c:f>
              <c:strCache>
                <c:ptCount val="3"/>
                <c:pt idx="0">
                  <c:v>  Metas con baja  Ejecución 0% a 25%</c:v>
                </c:pt>
                <c:pt idx="1">
                  <c:v>Metas con Ejecución media  26% a 70%</c:v>
                </c:pt>
                <c:pt idx="2">
                  <c:v>Metas con Ejecución al corte 70% a 100%</c:v>
                </c:pt>
              </c:strCache>
            </c:strRef>
          </c:cat>
          <c:val>
            <c:numRef>
              <c:f>'RESUMEN Y GRÁFICOS'!$P$78:$P$80</c:f>
              <c:numCache>
                <c:formatCode>0.00%</c:formatCode>
                <c:ptCount val="3"/>
                <c:pt idx="0">
                  <c:v>0.25</c:v>
                </c:pt>
                <c:pt idx="1">
                  <c:v>0.17499999999999999</c:v>
                </c:pt>
                <c:pt idx="2">
                  <c:v>0.57499999999999996</c:v>
                </c:pt>
              </c:numCache>
            </c:numRef>
          </c:val>
          <c:extLst>
            <c:ext xmlns:c16="http://schemas.microsoft.com/office/drawing/2014/chart" uri="{C3380CC4-5D6E-409C-BE32-E72D297353CC}">
              <c16:uniqueId val="{00000002-506C-42D1-AA25-A5BB5509BAF5}"/>
            </c:ext>
          </c:extLst>
        </c:ser>
        <c:ser>
          <c:idx val="3"/>
          <c:order val="3"/>
          <c:tx>
            <c:strRef>
              <c:f>'RESUMEN Y GRÁFICOS'!$Q$77</c:f>
              <c:strCache>
                <c:ptCount val="1"/>
                <c:pt idx="0">
                  <c:v>2020</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Y GRÁFICOS'!$M$78:$M$80</c:f>
              <c:strCache>
                <c:ptCount val="3"/>
                <c:pt idx="0">
                  <c:v>  Metas con baja  Ejecución 0% a 25%</c:v>
                </c:pt>
                <c:pt idx="1">
                  <c:v>Metas con Ejecución media  26% a 70%</c:v>
                </c:pt>
                <c:pt idx="2">
                  <c:v>Metas con Ejecución al corte 70% a 100%</c:v>
                </c:pt>
              </c:strCache>
            </c:strRef>
          </c:cat>
          <c:val>
            <c:numRef>
              <c:f>'RESUMEN Y GRÁFICOS'!$Q$78:$Q$80</c:f>
              <c:numCache>
                <c:formatCode>0.00%</c:formatCode>
                <c:ptCount val="3"/>
                <c:pt idx="0">
                  <c:v>0.19047619047619047</c:v>
                </c:pt>
                <c:pt idx="1">
                  <c:v>0.2857142857142857</c:v>
                </c:pt>
                <c:pt idx="2">
                  <c:v>0.52380952380952384</c:v>
                </c:pt>
              </c:numCache>
            </c:numRef>
          </c:val>
          <c:extLst>
            <c:ext xmlns:c16="http://schemas.microsoft.com/office/drawing/2014/chart" uri="{C3380CC4-5D6E-409C-BE32-E72D297353CC}">
              <c16:uniqueId val="{00000003-506C-42D1-AA25-A5BB5509BAF5}"/>
            </c:ext>
          </c:extLst>
        </c:ser>
        <c:dLbls>
          <c:showLegendKey val="0"/>
          <c:showVal val="0"/>
          <c:showCatName val="0"/>
          <c:showSerName val="0"/>
          <c:showPercent val="0"/>
          <c:showBubbleSize val="0"/>
        </c:dLbls>
        <c:gapWidth val="219"/>
        <c:overlap val="-27"/>
        <c:axId val="685680016"/>
        <c:axId val="685688216"/>
        <c:extLst>
          <c:ext xmlns:c15="http://schemas.microsoft.com/office/drawing/2012/chart" uri="{02D57815-91ED-43cb-92C2-25804820EDAC}">
            <c15:filteredBarSeries>
              <c15:ser>
                <c:idx val="0"/>
                <c:order val="0"/>
                <c:tx>
                  <c:strRef>
                    <c:extLst>
                      <c:ext uri="{02D57815-91ED-43cb-92C2-25804820EDAC}">
                        <c15:formulaRef>
                          <c15:sqref>'RESUMEN Y GRÁFICOS'!$N$77</c15:sqref>
                        </c15:formulaRef>
                      </c:ext>
                    </c:extLst>
                    <c:strCache>
                      <c:ptCount val="1"/>
                    </c:strCache>
                  </c:strRef>
                </c:tx>
                <c:spPr>
                  <a:solidFill>
                    <a:schemeClr val="accent1"/>
                  </a:solidFill>
                  <a:ln>
                    <a:noFill/>
                  </a:ln>
                  <a:effectLst/>
                </c:spPr>
                <c:invertIfNegative val="0"/>
                <c:cat>
                  <c:strRef>
                    <c:extLst>
                      <c:ext uri="{02D57815-91ED-43cb-92C2-25804820EDAC}">
                        <c15:formulaRef>
                          <c15:sqref>'RESUMEN Y GRÁFICOS'!$M$78:$M$80</c15:sqref>
                        </c15:formulaRef>
                      </c:ext>
                    </c:extLst>
                    <c:strCache>
                      <c:ptCount val="3"/>
                      <c:pt idx="0">
                        <c:v>  Metas con baja  Ejecución 0% a 25%</c:v>
                      </c:pt>
                      <c:pt idx="1">
                        <c:v>Metas con Ejecución media  26% a 70%</c:v>
                      </c:pt>
                      <c:pt idx="2">
                        <c:v>Metas con Ejecución al corte 70% a 100%</c:v>
                      </c:pt>
                    </c:strCache>
                  </c:strRef>
                </c:cat>
                <c:val>
                  <c:numRef>
                    <c:extLst>
                      <c:ext uri="{02D57815-91ED-43cb-92C2-25804820EDAC}">
                        <c15:formulaRef>
                          <c15:sqref>'RESUMEN Y GRÁFICOS'!$N$78:$N$80</c15:sqref>
                        </c15:formulaRef>
                      </c:ext>
                    </c:extLst>
                    <c:numCache>
                      <c:formatCode>General</c:formatCode>
                      <c:ptCount val="3"/>
                    </c:numCache>
                  </c:numRef>
                </c:val>
                <c:extLst>
                  <c:ext xmlns:c16="http://schemas.microsoft.com/office/drawing/2014/chart" uri="{C3380CC4-5D6E-409C-BE32-E72D297353CC}">
                    <c16:uniqueId val="{00000000-506C-42D1-AA25-A5BB5509BAF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'RESUMEN Y GRÁFICOS'!$O$77</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'RESUMEN Y GRÁFICOS'!$M$78:$M$80</c15:sqref>
                        </c15:formulaRef>
                      </c:ext>
                    </c:extLst>
                    <c:strCache>
                      <c:ptCount val="3"/>
                      <c:pt idx="0">
                        <c:v>  Metas con baja  Ejecución 0% a 25%</c:v>
                      </c:pt>
                      <c:pt idx="1">
                        <c:v>Metas con Ejecución media  26% a 70%</c:v>
                      </c:pt>
                      <c:pt idx="2">
                        <c:v>Metas con Ejecución al corte 70% a 100%</c:v>
                      </c:pt>
                    </c:strCache>
                  </c:strRef>
                </c:cat>
                <c:val>
                  <c:numRef>
                    <c:extLst xmlns:c15="http://schemas.microsoft.com/office/drawing/2012/chart">
                      <c:ext xmlns:c15="http://schemas.microsoft.com/office/drawing/2012/chart" uri="{02D57815-91ED-43cb-92C2-25804820EDAC}">
                        <c15:formulaRef>
                          <c15:sqref>'RESUMEN Y GRÁFICOS'!$O$78:$O$80</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1-506C-42D1-AA25-A5BB5509BAF5}"/>
                  </c:ext>
                </c:extLst>
              </c15:ser>
            </c15:filteredBarSeries>
          </c:ext>
        </c:extLst>
      </c:barChart>
      <c:catAx>
        <c:axId val="68568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85688216"/>
        <c:crosses val="autoZero"/>
        <c:auto val="1"/>
        <c:lblAlgn val="ctr"/>
        <c:lblOffset val="100"/>
        <c:noMultiLvlLbl val="0"/>
      </c:catAx>
      <c:valAx>
        <c:axId val="6856882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85680016"/>
        <c:crosses val="autoZero"/>
        <c:crossBetween val="between"/>
      </c:valAx>
      <c:spPr>
        <a:noFill/>
        <a:ln>
          <a:noFill/>
        </a:ln>
        <a:effectLst/>
      </c:spPr>
    </c:plotArea>
    <c:legend>
      <c:legendPos val="b"/>
      <c:layout>
        <c:manualLayout>
          <c:xMode val="edge"/>
          <c:yMode val="edge"/>
          <c:x val="0.89858814831244682"/>
          <c:y val="0.580644896447852"/>
          <c:w val="0.10047628553473069"/>
          <c:h val="0.1378302057578368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sz="1300"/>
              <a:t>Gráfico N°</a:t>
            </a:r>
            <a:r>
              <a:rPr lang="es-CR" sz="1300" baseline="0"/>
              <a:t> 2-B</a:t>
            </a:r>
            <a:r>
              <a:rPr lang="es-CR" sz="1300"/>
              <a:t>                                                                                                          </a:t>
            </a:r>
          </a:p>
          <a:p>
            <a:pPr>
              <a:defRPr/>
            </a:pPr>
            <a:r>
              <a:rPr lang="es-CR" sz="1300"/>
              <a:t> Resumen Presupuestario Programa II                                                                                                    </a:t>
            </a:r>
          </a:p>
        </c:rich>
      </c:tx>
      <c:layout>
        <c:manualLayout>
          <c:xMode val="edge"/>
          <c:yMode val="edge"/>
          <c:x val="0.24064563101159131"/>
          <c:y val="1.1484312368903679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manualLayout>
          <c:layoutTarget val="inner"/>
          <c:xMode val="edge"/>
          <c:yMode val="edge"/>
          <c:x val="8.8958865989204494E-2"/>
          <c:y val="0.24847461535927254"/>
          <c:w val="0.40227035675330364"/>
          <c:h val="0.69429518224447884"/>
        </c:manualLayout>
      </c:layout>
      <c:doughnut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c:spPr>
            <c:extLst>
              <c:ext xmlns:c16="http://schemas.microsoft.com/office/drawing/2014/chart" uri="{C3380CC4-5D6E-409C-BE32-E72D297353CC}">
                <c16:uniqueId val="{00000001-C708-4D6F-9E33-04BD73EA444E}"/>
              </c:ext>
            </c:extLst>
          </c:dPt>
          <c:dPt>
            <c:idx val="1"/>
            <c:bubble3D val="0"/>
            <c:spPr>
              <a:solidFill>
                <a:schemeClr val="accent2">
                  <a:lumMod val="60000"/>
                  <a:lumOff val="40000"/>
                </a:schemeClr>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c:spPr>
            <c:extLst>
              <c:ext xmlns:c16="http://schemas.microsoft.com/office/drawing/2014/chart" uri="{C3380CC4-5D6E-409C-BE32-E72D297353CC}">
                <c16:uniqueId val="{00000003-C708-4D6F-9E33-04BD73EA444E}"/>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c:spPr>
            <c:extLst>
              <c:ext xmlns:c16="http://schemas.microsoft.com/office/drawing/2014/chart" uri="{C3380CC4-5D6E-409C-BE32-E72D297353CC}">
                <c16:uniqueId val="{00000005-C708-4D6F-9E33-04BD73EA444E}"/>
              </c:ext>
            </c:extLst>
          </c:dPt>
          <c:dPt>
            <c:idx val="3"/>
            <c:bubble3D val="0"/>
            <c:spPr>
              <a:solidFill>
                <a:schemeClr val="accent4">
                  <a:lumMod val="60000"/>
                  <a:lumOff val="40000"/>
                </a:schemeClr>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c:spPr>
            <c:extLst>
              <c:ext xmlns:c16="http://schemas.microsoft.com/office/drawing/2014/chart" uri="{C3380CC4-5D6E-409C-BE32-E72D297353CC}">
                <c16:uniqueId val="{00000007-C708-4D6F-9E33-04BD73EA444E}"/>
              </c:ext>
            </c:extLst>
          </c:dPt>
          <c:dPt>
            <c:idx val="4"/>
            <c:bubble3D val="0"/>
            <c:spPr>
              <a:solidFill>
                <a:schemeClr val="accent5">
                  <a:lumMod val="60000"/>
                  <a:lumOff val="40000"/>
                </a:schemeClr>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c:spPr>
            <c:extLst>
              <c:ext xmlns:c16="http://schemas.microsoft.com/office/drawing/2014/chart" uri="{C3380CC4-5D6E-409C-BE32-E72D297353CC}">
                <c16:uniqueId val="{00000009-C708-4D6F-9E33-04BD73EA444E}"/>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c:spPr>
            <c:extLst>
              <c:ext xmlns:c16="http://schemas.microsoft.com/office/drawing/2014/chart" uri="{C3380CC4-5D6E-409C-BE32-E72D297353CC}">
                <c16:uniqueId val="{0000000B-C708-4D6F-9E33-04BD73EA444E}"/>
              </c:ext>
            </c:extLst>
          </c:dPt>
          <c:dLbls>
            <c:dLbl>
              <c:idx val="0"/>
              <c:layout>
                <c:manualLayout>
                  <c:x val="-3.303459269313725E-2"/>
                  <c:y val="-0.10339101130877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08-4D6F-9E33-04BD73EA444E}"/>
                </c:ext>
              </c:extLst>
            </c:dLbl>
            <c:dLbl>
              <c:idx val="1"/>
              <c:layout>
                <c:manualLayout>
                  <c:x val="7.0209167229910496E-2"/>
                  <c:y val="-0.123514699260918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08-4D6F-9E33-04BD73EA444E}"/>
                </c:ext>
              </c:extLst>
            </c:dLbl>
            <c:dLbl>
              <c:idx val="2"/>
              <c:layout>
                <c:manualLayout>
                  <c:x val="0.16825019195892915"/>
                  <c:y val="-0.48217007654377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08-4D6F-9E33-04BD73EA444E}"/>
                </c:ext>
              </c:extLst>
            </c:dLbl>
            <c:dLbl>
              <c:idx val="3"/>
              <c:layout>
                <c:manualLayout>
                  <c:x val="-9.9802417911012825E-2"/>
                  <c:y val="-0.118514644351464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08-4D6F-9E33-04BD73EA444E}"/>
                </c:ext>
              </c:extLst>
            </c:dLbl>
            <c:dLbl>
              <c:idx val="4"/>
              <c:layout>
                <c:manualLayout>
                  <c:x val="-7.9209881617771177E-2"/>
                  <c:y val="-0.11315630525263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08-4D6F-9E33-04BD73EA444E}"/>
                </c:ext>
              </c:extLst>
            </c:dLbl>
            <c:dLbl>
              <c:idx val="5"/>
              <c:layout>
                <c:manualLayout>
                  <c:x val="-3.613395803926946E-3"/>
                  <c:y val="-1.2738695519603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08-4D6F-9E33-04BD73EA44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 Y GRÁFICOS'!$B$43:$B$48</c:f>
              <c:strCache>
                <c:ptCount val="5"/>
                <c:pt idx="0">
                  <c:v>DEPARTAMENTO GESTIÓN DE FORTALECIMIENTO INSTITUCIONAL</c:v>
                </c:pt>
                <c:pt idx="1">
                  <c:v>INNOVACIÓN Y DESARROLLO </c:v>
                </c:pt>
                <c:pt idx="2">
                  <c:v>GESTIÓN SERVICIOS TÉCNICOS Y FINANCIAMIENTO </c:v>
                </c:pt>
                <c:pt idx="3">
                  <c:v>CAPACITACIÓN Y FORMACIÓN </c:v>
                </c:pt>
                <c:pt idx="4">
                  <c:v>TECNOLOGÍAS DE INFORMACIÓN </c:v>
                </c:pt>
              </c:strCache>
            </c:strRef>
          </c:cat>
          <c:val>
            <c:numRef>
              <c:f>'RESUMEN Y GRÁFICOS'!$E$43:$E$48</c:f>
              <c:numCache>
                <c:formatCode>0.00%</c:formatCode>
                <c:ptCount val="6"/>
                <c:pt idx="0">
                  <c:v>7.791648871970965E-3</c:v>
                </c:pt>
                <c:pt idx="1">
                  <c:v>8.6371511798447129E-3</c:v>
                </c:pt>
                <c:pt idx="2">
                  <c:v>0.86744253724013443</c:v>
                </c:pt>
                <c:pt idx="3">
                  <c:v>4.8233836586597391E-2</c:v>
                </c:pt>
                <c:pt idx="4">
                  <c:v>6.789482612145252E-2</c:v>
                </c:pt>
              </c:numCache>
            </c:numRef>
          </c:val>
          <c:extLst>
            <c:ext xmlns:c16="http://schemas.microsoft.com/office/drawing/2014/chart" uri="{C3380CC4-5D6E-409C-BE32-E72D297353CC}">
              <c16:uniqueId val="{0000000C-C708-4D6F-9E33-04BD73EA444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egendEntry>
        <c:idx val="5"/>
        <c:delete val="1"/>
      </c:legendEntry>
      <c:layout>
        <c:manualLayout>
          <c:xMode val="edge"/>
          <c:yMode val="edge"/>
          <c:x val="0.67057795743610016"/>
          <c:y val="0.23014748679427624"/>
          <c:w val="0.27176023673582489"/>
          <c:h val="0.630368771895144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s-CR" sz="1300" b="1" i="0" baseline="0">
                <a:effectLst/>
              </a:rPr>
              <a:t>Gráfico N° 1 -A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s-CR" sz="1300" b="1" i="0" baseline="0">
                <a:effectLst/>
              </a:rPr>
              <a:t> Instituto de Fomento y Asesoría Municipal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s-CR" sz="1300" b="1" i="0" baseline="0">
                <a:effectLst/>
              </a:rPr>
              <a:t>Resumen Presupuestario Por Programa                                                            </a:t>
            </a:r>
            <a:r>
              <a:rPr lang="es-CR" sz="1400" b="1" i="0" u="none" strike="noStrike" baseline="0">
                <a:effectLst/>
              </a:rPr>
              <a:t>III EVALUACIÓN TRIMESTRAL POI -IFAM 2020 </a:t>
            </a:r>
            <a:endParaRPr lang="es-C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17885443745368"/>
          <c:y val="0.29473407100091004"/>
          <c:w val="0.62803384026757425"/>
          <c:h val="0.53765017919380964"/>
        </c:manualLayout>
      </c:layout>
      <c:bar3DChart>
        <c:barDir val="bar"/>
        <c:grouping val="percentStacked"/>
        <c:varyColors val="0"/>
        <c:ser>
          <c:idx val="0"/>
          <c:order val="0"/>
          <c:tx>
            <c:strRef>
              <c:f>'RESUMEN Y GRÁFICOS'!$A$55</c:f>
              <c:strCache>
                <c:ptCount val="1"/>
                <c:pt idx="0">
                  <c:v> PROGRAMA I ADMINISTRACIÓN GENERAL</c:v>
                </c:pt>
              </c:strCache>
            </c:strRef>
          </c:tx>
          <c:spPr>
            <a:solidFill>
              <a:schemeClr val="accent6">
                <a:lumMod val="75000"/>
              </a:schemeClr>
            </a:solidFill>
            <a:ln>
              <a:noFill/>
            </a:ln>
            <a:effectLst/>
            <a:sp3d/>
          </c:spPr>
          <c:invertIfNegative val="0"/>
          <c:dLbls>
            <c:spPr>
              <a:solidFill>
                <a:schemeClr val="bg2">
                  <a:lumMod val="9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Y GRÁFICOS'!$B$54,'RESUMEN Y GRÁFICOS'!$D$54)</c:f>
              <c:strCache>
                <c:ptCount val="2"/>
                <c:pt idx="1">
                  <c:v>MONTO                   (en miles de millones)</c:v>
                </c:pt>
              </c:strCache>
            </c:strRef>
          </c:cat>
          <c:val>
            <c:numRef>
              <c:f>('RESUMEN Y GRÁFICOS'!$B$55,'RESUMEN Y GRÁFICOS'!$D$55)</c:f>
              <c:numCache>
                <c:formatCode>"₡"#\ ##0.00_);[Red]\("₡"#\ ##0.00\)</c:formatCode>
                <c:ptCount val="2"/>
                <c:pt idx="1">
                  <c:v>7815848096.9400005</c:v>
                </c:pt>
              </c:numCache>
            </c:numRef>
          </c:val>
          <c:extLst>
            <c:ext xmlns:c16="http://schemas.microsoft.com/office/drawing/2014/chart" uri="{C3380CC4-5D6E-409C-BE32-E72D297353CC}">
              <c16:uniqueId val="{00000000-B0DC-41FF-A6D1-926B94953030}"/>
            </c:ext>
          </c:extLst>
        </c:ser>
        <c:ser>
          <c:idx val="1"/>
          <c:order val="1"/>
          <c:tx>
            <c:strRef>
              <c:f>'RESUMEN Y GRÁFICOS'!$A$56</c:f>
              <c:strCache>
                <c:ptCount val="1"/>
                <c:pt idx="0">
                  <c:v> PROGRAMA II GESTIÓN DE FORTALECIMIENTO MUNICIPAL</c:v>
                </c:pt>
              </c:strCache>
            </c:strRef>
          </c:tx>
          <c:spPr>
            <a:solidFill>
              <a:srgbClr val="002060"/>
            </a:solidFill>
            <a:ln>
              <a:noFill/>
            </a:ln>
            <a:effectLst/>
            <a:sp3d/>
          </c:spPr>
          <c:invertIfNegative val="0"/>
          <c:dLbls>
            <c:spPr>
              <a:solidFill>
                <a:schemeClr val="bg2">
                  <a:lumMod val="9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Y GRÁFICOS'!$B$54,'RESUMEN Y GRÁFICOS'!$D$54)</c:f>
              <c:strCache>
                <c:ptCount val="2"/>
                <c:pt idx="1">
                  <c:v>MONTO                   (en miles de millones)</c:v>
                </c:pt>
              </c:strCache>
            </c:strRef>
          </c:cat>
          <c:val>
            <c:numRef>
              <c:f>('RESUMEN Y GRÁFICOS'!$B$56,'RESUMEN Y GRÁFICOS'!$D$56)</c:f>
              <c:numCache>
                <c:formatCode>"₡"#\ ##0.00_);[Red]\("₡"#\ ##0.00\)</c:formatCode>
                <c:ptCount val="2"/>
                <c:pt idx="1">
                  <c:v>17221590775.568001</c:v>
                </c:pt>
              </c:numCache>
            </c:numRef>
          </c:val>
          <c:extLst>
            <c:ext xmlns:c16="http://schemas.microsoft.com/office/drawing/2014/chart" uri="{C3380CC4-5D6E-409C-BE32-E72D297353CC}">
              <c16:uniqueId val="{00000001-B0DC-41FF-A6D1-926B94953030}"/>
            </c:ext>
          </c:extLst>
        </c:ser>
        <c:dLbls>
          <c:showLegendKey val="0"/>
          <c:showVal val="0"/>
          <c:showCatName val="0"/>
          <c:showSerName val="0"/>
          <c:showPercent val="0"/>
          <c:showBubbleSize val="0"/>
        </c:dLbls>
        <c:gapWidth val="150"/>
        <c:shape val="box"/>
        <c:axId val="465657455"/>
        <c:axId val="323180319"/>
        <c:axId val="0"/>
      </c:bar3DChart>
      <c:catAx>
        <c:axId val="465657455"/>
        <c:scaling>
          <c:orientation val="minMax"/>
        </c:scaling>
        <c:delete val="0"/>
        <c:axPos val="l"/>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23180319"/>
        <c:crosses val="autoZero"/>
        <c:auto val="1"/>
        <c:lblAlgn val="ctr"/>
        <c:lblOffset val="100"/>
        <c:noMultiLvlLbl val="0"/>
      </c:catAx>
      <c:valAx>
        <c:axId val="32318031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65657455"/>
        <c:crosses val="autoZero"/>
        <c:crossBetween val="between"/>
      </c:valAx>
      <c:spPr>
        <a:noFill/>
        <a:ln>
          <a:noFill/>
        </a:ln>
        <a:effectLst/>
      </c:spPr>
    </c:plotArea>
    <c:legend>
      <c:legendPos val="b"/>
      <c:layout>
        <c:manualLayout>
          <c:xMode val="edge"/>
          <c:yMode val="edge"/>
          <c:x val="0.78508085550339068"/>
          <c:y val="0.34270435341151978"/>
          <c:w val="0.1907581461819535"/>
          <c:h val="0.354694508123193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s-CR" sz="1300" b="1" i="0" baseline="0">
                <a:effectLst/>
              </a:rPr>
              <a:t>Gráfico N° 3                                                                                                         Cantidad de Metas  Programa I                                                                                                 </a:t>
            </a:r>
            <a:r>
              <a:rPr lang="es-CR" sz="1400" b="1" i="0" u="none" strike="noStrike" baseline="0">
                <a:effectLst/>
              </a:rPr>
              <a:t>III EVALUACI</a:t>
            </a:r>
            <a:endParaRPr lang="es-CR" sz="1300">
              <a:effectLst/>
            </a:endParaRPr>
          </a:p>
        </c:rich>
      </c:tx>
      <c:layout>
        <c:manualLayout>
          <c:xMode val="edge"/>
          <c:yMode val="edge"/>
          <c:x val="0.26682404705756962"/>
          <c:y val="5.3033732790352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manualLayout>
          <c:layoutTarget val="inner"/>
          <c:xMode val="edge"/>
          <c:yMode val="edge"/>
          <c:x val="0.27983518979893562"/>
          <c:y val="0.29956097243959195"/>
          <c:w val="0.64918567332539867"/>
          <c:h val="0.64683233806960327"/>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Y GRÁFICOS'!$B$24:$B$33</c:f>
              <c:strCache>
                <c:ptCount val="9"/>
                <c:pt idx="0">
                  <c:v>JUNTA DIRECTIVA</c:v>
                </c:pt>
                <c:pt idx="1">
                  <c:v>AUDITORÍA INTERNA </c:v>
                </c:pt>
                <c:pt idx="2">
                  <c:v>CONTRALORÍA DE SERVICIOS </c:v>
                </c:pt>
                <c:pt idx="3">
                  <c:v>PRESIDENCIA EJECUTIVA </c:v>
                </c:pt>
                <c:pt idx="4">
                  <c:v>ASESORÍA JURÍDICA </c:v>
                </c:pt>
                <c:pt idx="5">
                  <c:v>PLANIFICACIÓN INSTITUCIONAL </c:v>
                </c:pt>
                <c:pt idx="6">
                  <c:v>DIRECCIÓN EJECUTIVA </c:v>
                </c:pt>
                <c:pt idx="7">
                  <c:v>ADMINISTRACIÓN HACENDARIA </c:v>
                </c:pt>
                <c:pt idx="8">
                  <c:v>DEPARTAMENTO ADMINISTRATIVO </c:v>
                </c:pt>
              </c:strCache>
            </c:strRef>
          </c:cat>
          <c:val>
            <c:numRef>
              <c:f>'RESUMEN Y GRÁFICOS'!$C$24:$C$33</c:f>
              <c:numCache>
                <c:formatCode>General</c:formatCode>
                <c:ptCount val="9"/>
                <c:pt idx="0">
                  <c:v>1</c:v>
                </c:pt>
                <c:pt idx="1">
                  <c:v>1</c:v>
                </c:pt>
                <c:pt idx="2">
                  <c:v>1</c:v>
                </c:pt>
                <c:pt idx="3">
                  <c:v>3</c:v>
                </c:pt>
                <c:pt idx="4">
                  <c:v>2</c:v>
                </c:pt>
                <c:pt idx="5">
                  <c:v>1</c:v>
                </c:pt>
                <c:pt idx="6">
                  <c:v>2</c:v>
                </c:pt>
                <c:pt idx="7">
                  <c:v>2</c:v>
                </c:pt>
                <c:pt idx="8">
                  <c:v>9</c:v>
                </c:pt>
              </c:numCache>
            </c:numRef>
          </c:val>
          <c:extLst>
            <c:ext xmlns:c16="http://schemas.microsoft.com/office/drawing/2014/chart" uri="{C3380CC4-5D6E-409C-BE32-E72D297353CC}">
              <c16:uniqueId val="{00000000-E9DE-4D38-ADDE-EFB0F03C5D28}"/>
            </c:ext>
          </c:extLst>
        </c:ser>
        <c:dLbls>
          <c:showLegendKey val="0"/>
          <c:showVal val="0"/>
          <c:showCatName val="0"/>
          <c:showSerName val="0"/>
          <c:showPercent val="0"/>
          <c:showBubbleSize val="0"/>
        </c:dLbls>
        <c:gapWidth val="182"/>
        <c:axId val="330808703"/>
        <c:axId val="522214351"/>
      </c:barChart>
      <c:catAx>
        <c:axId val="3308087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22214351"/>
        <c:crosses val="autoZero"/>
        <c:auto val="1"/>
        <c:lblAlgn val="ctr"/>
        <c:lblOffset val="100"/>
        <c:noMultiLvlLbl val="0"/>
      </c:catAx>
      <c:valAx>
        <c:axId val="5222143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308087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s-CR" sz="1300" b="1" i="0" baseline="0">
                <a:effectLst/>
              </a:rPr>
              <a:t>Gráfico N°4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s-CR" sz="1300" b="1" i="0" baseline="0">
                <a:effectLst/>
              </a:rPr>
              <a:t>Cantidad de Metas Programa II                                                                                                               </a:t>
            </a:r>
            <a:endParaRPr lang="es-CR" sz="1300">
              <a:effectLst/>
            </a:endParaRPr>
          </a:p>
        </c:rich>
      </c:tx>
      <c:layout>
        <c:manualLayout>
          <c:xMode val="edge"/>
          <c:yMode val="edge"/>
          <c:x val="0.25984762025992664"/>
          <c:y val="5.617527734535789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manualLayout>
          <c:layoutTarget val="inner"/>
          <c:xMode val="edge"/>
          <c:yMode val="edge"/>
          <c:x val="0.38414251669844196"/>
          <c:y val="0.23671751507487829"/>
          <c:w val="0.53757965338095626"/>
          <c:h val="0.65539098816561114"/>
        </c:manualLayout>
      </c:layout>
      <c:barChart>
        <c:barDir val="bar"/>
        <c:grouping val="clustered"/>
        <c:varyColors val="0"/>
        <c:ser>
          <c:idx val="0"/>
          <c:order val="0"/>
          <c:spPr>
            <a:solidFill>
              <a:schemeClr val="accent1"/>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40-4209-BBBF-B907A3B73563}"/>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40-4209-BBBF-B907A3B73563}"/>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40-4209-BBBF-B907A3B73563}"/>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40-4209-BBBF-B907A3B73563}"/>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40-4209-BBBF-B907A3B73563}"/>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40-4209-BBBF-B907A3B735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Y GRÁFICOS'!$B$43:$B$48</c:f>
              <c:strCache>
                <c:ptCount val="5"/>
                <c:pt idx="0">
                  <c:v>DEPARTAMENTO GESTIÓN DE FORTALECIMIENTO INSTITUCIONAL</c:v>
                </c:pt>
                <c:pt idx="1">
                  <c:v>INNOVACIÓN Y DESARROLLO </c:v>
                </c:pt>
                <c:pt idx="2">
                  <c:v>GESTIÓN SERVICIOS TÉCNICOS Y FINANCIAMIENTO </c:v>
                </c:pt>
                <c:pt idx="3">
                  <c:v>CAPACITACIÓN Y FORMACIÓN </c:v>
                </c:pt>
                <c:pt idx="4">
                  <c:v>TECNOLOGÍAS DE INFORMACIÓN </c:v>
                </c:pt>
              </c:strCache>
            </c:strRef>
          </c:cat>
          <c:val>
            <c:numRef>
              <c:f>'RESUMEN Y GRÁFICOS'!$C$43:$C$48</c:f>
              <c:numCache>
                <c:formatCode>General</c:formatCode>
                <c:ptCount val="6"/>
                <c:pt idx="0">
                  <c:v>1</c:v>
                </c:pt>
                <c:pt idx="1">
                  <c:v>4</c:v>
                </c:pt>
                <c:pt idx="2">
                  <c:v>5</c:v>
                </c:pt>
                <c:pt idx="3">
                  <c:v>3</c:v>
                </c:pt>
                <c:pt idx="4">
                  <c:v>5</c:v>
                </c:pt>
              </c:numCache>
            </c:numRef>
          </c:val>
          <c:extLst>
            <c:ext xmlns:c16="http://schemas.microsoft.com/office/drawing/2014/chart" uri="{C3380CC4-5D6E-409C-BE32-E72D297353CC}">
              <c16:uniqueId val="{00000006-3140-4209-BBBF-B907A3B73563}"/>
            </c:ext>
          </c:extLst>
        </c:ser>
        <c:dLbls>
          <c:showLegendKey val="0"/>
          <c:showVal val="0"/>
          <c:showCatName val="0"/>
          <c:showSerName val="0"/>
          <c:showPercent val="0"/>
          <c:showBubbleSize val="0"/>
        </c:dLbls>
        <c:gapWidth val="182"/>
        <c:axId val="463661887"/>
        <c:axId val="535383935"/>
      </c:barChart>
      <c:catAx>
        <c:axId val="4636618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35383935"/>
        <c:crosses val="autoZero"/>
        <c:auto val="1"/>
        <c:lblAlgn val="ctr"/>
        <c:lblOffset val="100"/>
        <c:noMultiLvlLbl val="0"/>
      </c:catAx>
      <c:valAx>
        <c:axId val="53538393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636618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CR" sz="1400" b="1" i="0" baseline="0">
                <a:effectLst/>
              </a:rPr>
              <a:t>Gráfico N° 1-B      </a:t>
            </a:r>
            <a:endParaRPr lang="es-CR" sz="1400">
              <a:effectLst/>
            </a:endParaRPr>
          </a:p>
          <a:p>
            <a:pPr>
              <a:defRPr sz="1000" b="0" i="0" u="none" strike="noStrike" kern="1200" spc="0" baseline="0">
                <a:solidFill>
                  <a:schemeClr val="tx1">
                    <a:lumMod val="65000"/>
                    <a:lumOff val="35000"/>
                  </a:schemeClr>
                </a:solidFill>
                <a:latin typeface="+mn-lt"/>
                <a:ea typeface="+mn-ea"/>
                <a:cs typeface="+mn-cs"/>
              </a:defRPr>
            </a:pPr>
            <a:r>
              <a:rPr lang="es-CR" sz="1400" b="1" i="0" baseline="0">
                <a:effectLst/>
              </a:rPr>
              <a:t> Instituto de Fomento y Asesoría Municipal     </a:t>
            </a:r>
            <a:endParaRPr lang="es-CR" sz="1400">
              <a:effectLst/>
            </a:endParaRPr>
          </a:p>
          <a:p>
            <a:pPr>
              <a:defRPr sz="1000" b="0" i="0" u="none" strike="noStrike" kern="1200" spc="0" baseline="0">
                <a:solidFill>
                  <a:schemeClr val="tx1">
                    <a:lumMod val="65000"/>
                    <a:lumOff val="35000"/>
                  </a:schemeClr>
                </a:solidFill>
                <a:latin typeface="+mn-lt"/>
                <a:ea typeface="+mn-ea"/>
                <a:cs typeface="+mn-cs"/>
              </a:defRPr>
            </a:pPr>
            <a:r>
              <a:rPr lang="es-CR" sz="1400" b="1" i="0" baseline="0">
                <a:effectLst/>
              </a:rPr>
              <a:t>Resumen Presupuestario Por Programa                                                                            </a:t>
            </a:r>
            <a:r>
              <a:rPr lang="es-CR" sz="1400" b="1" i="0" u="none" strike="noStrike" kern="1200" spc="0" baseline="0">
                <a:solidFill>
                  <a:sysClr val="windowText" lastClr="000000">
                    <a:lumMod val="65000"/>
                    <a:lumOff val="35000"/>
                  </a:sysClr>
                </a:solidFill>
                <a:effectLst/>
                <a:latin typeface="+mn-lt"/>
                <a:ea typeface="+mn-ea"/>
                <a:cs typeface="+mn-cs"/>
              </a:rPr>
              <a:t>III EVALUACIÓN TRIMESTRAL POI -IFAM 2020 </a:t>
            </a:r>
            <a:endParaRPr lang="en-US" sz="1400" b="1" i="0" u="none" strike="noStrike" kern="1200" spc="0" baseline="0">
              <a:solidFill>
                <a:sysClr val="windowText" lastClr="000000">
                  <a:lumMod val="65000"/>
                  <a:lumOff val="35000"/>
                </a:sysClr>
              </a:solidFill>
              <a:effectLst/>
              <a:latin typeface="+mn-lt"/>
              <a:ea typeface="+mn-ea"/>
              <a:cs typeface="+mn-cs"/>
            </a:endParaRPr>
          </a:p>
        </c:rich>
      </c:tx>
      <c:overlay val="0"/>
      <c:spPr>
        <a:noFill/>
        <a:ln>
          <a:noFill/>
        </a:ln>
        <a:effectLst/>
      </c:spPr>
    </c:title>
    <c:autoTitleDeleted val="0"/>
    <c:view3D>
      <c:rotX val="75"/>
      <c:rotY val="0"/>
      <c:rAngAx val="0"/>
    </c:view3D>
    <c:floor>
      <c:thickness val="0"/>
    </c:floor>
    <c:sideWall>
      <c:thickness val="0"/>
    </c:sideWall>
    <c:backWall>
      <c:thickness val="0"/>
    </c:backWall>
    <c:plotArea>
      <c:layout>
        <c:manualLayout>
          <c:layoutTarget val="inner"/>
          <c:xMode val="edge"/>
          <c:yMode val="edge"/>
          <c:x val="0.15466362307317449"/>
          <c:y val="0.2937489177489177"/>
          <c:w val="0.52346337001034482"/>
          <c:h val="0.70625108225108224"/>
        </c:manualLayout>
      </c:layout>
      <c:pie3DChart>
        <c:varyColors val="1"/>
        <c:ser>
          <c:idx val="1"/>
          <c:order val="0"/>
          <c:tx>
            <c:strRef>
              <c:f>'RESUMEN Y GRÁFICOS'!$A$66</c:f>
              <c:strCache>
                <c:ptCount val="1"/>
                <c:pt idx="0">
                  <c:v>PARTICIPACIÓN RELATIVA (%) </c:v>
                </c:pt>
              </c:strCache>
            </c:strRef>
          </c:tx>
          <c:spPr>
            <a:solidFill>
              <a:srgbClr val="002060"/>
            </a:solidFill>
          </c:spPr>
          <c:dPt>
            <c:idx val="0"/>
            <c:bubble3D val="0"/>
            <c:spPr>
              <a:solidFill>
                <a:schemeClr val="accent6">
                  <a:lumMod val="75000"/>
                </a:schemeClr>
              </a:solidFill>
            </c:spPr>
            <c:extLst>
              <c:ext xmlns:c16="http://schemas.microsoft.com/office/drawing/2014/chart" uri="{C3380CC4-5D6E-409C-BE32-E72D297353CC}">
                <c16:uniqueId val="{00000001-626E-4769-B0F7-D2BC22EFAA0C}"/>
              </c:ext>
            </c:extLst>
          </c:dPt>
          <c:dPt>
            <c:idx val="1"/>
            <c:bubble3D val="0"/>
            <c:extLst>
              <c:ext xmlns:c16="http://schemas.microsoft.com/office/drawing/2014/chart" uri="{C3380CC4-5D6E-409C-BE32-E72D297353CC}">
                <c16:uniqueId val="{00000002-626E-4769-B0F7-D2BC22EFAA0C}"/>
              </c:ext>
            </c:extLst>
          </c:dPt>
          <c:dPt>
            <c:idx val="2"/>
            <c:bubble3D val="0"/>
            <c:extLst>
              <c:ext xmlns:c16="http://schemas.microsoft.com/office/drawing/2014/chart" uri="{C3380CC4-5D6E-409C-BE32-E72D297353CC}">
                <c16:uniqueId val="{00000003-626E-4769-B0F7-D2BC22EFAA0C}"/>
              </c:ext>
            </c:extLst>
          </c:dPt>
          <c:dPt>
            <c:idx val="3"/>
            <c:bubble3D val="0"/>
            <c:extLst>
              <c:ext xmlns:c16="http://schemas.microsoft.com/office/drawing/2014/chart" uri="{C3380CC4-5D6E-409C-BE32-E72D297353CC}">
                <c16:uniqueId val="{00000004-626E-4769-B0F7-D2BC22EFAA0C}"/>
              </c:ext>
            </c:extLst>
          </c:dPt>
          <c:dLbls>
            <c:dLbl>
              <c:idx val="0"/>
              <c:layout>
                <c:manualLayout>
                  <c:x val="-0.14128155804628656"/>
                  <c:y val="9.9969049323380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6E-4769-B0F7-D2BC22EFAA0C}"/>
                </c:ext>
              </c:extLst>
            </c:dLbl>
            <c:dLbl>
              <c:idx val="2"/>
              <c:layout>
                <c:manualLayout>
                  <c:x val="0.12472235758803765"/>
                  <c:y val="-0.197336060265194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6E-4769-B0F7-D2BC22EFAA0C}"/>
                </c:ext>
              </c:extLst>
            </c:dLbl>
            <c:spPr>
              <a:noFill/>
              <a:ln>
                <a:noFill/>
              </a:ln>
              <a:effectLst/>
            </c:spPr>
            <c:txPr>
              <a:bodyPr wrap="square" lIns="38100" tIns="19050" rIns="38100" bIns="19050" anchor="ctr">
                <a:spAutoFit/>
              </a:bodyPr>
              <a:lstStyle/>
              <a:p>
                <a:pPr>
                  <a:defRPr sz="1400" b="1">
                    <a:solidFill>
                      <a:schemeClr val="bg1"/>
                    </a:solidFill>
                  </a:defRPr>
                </a:pPr>
                <a:endParaRPr lang="es-CR"/>
              </a:p>
            </c:txPr>
            <c:showLegendKey val="0"/>
            <c:showVal val="1"/>
            <c:showCatName val="0"/>
            <c:showSerName val="0"/>
            <c:showPercent val="0"/>
            <c:showBubbleSize val="0"/>
            <c:showLeaderLines val="1"/>
            <c:extLst>
              <c:ext xmlns:c15="http://schemas.microsoft.com/office/drawing/2012/chart" uri="{CE6537A1-D6FC-4f65-9D91-7224C49458BB}"/>
            </c:extLst>
          </c:dLbls>
          <c:cat>
            <c:strRef>
              <c:f>'RESUMEN Y GRÁFICOS'!$B$65:$E$65</c:f>
              <c:strCache>
                <c:ptCount val="3"/>
                <c:pt idx="0">
                  <c:v> PROGRAMA I ADMINISTRACIÓN GENERAL</c:v>
                </c:pt>
                <c:pt idx="2">
                  <c:v> PROGRAMA II GESTIÓN DE FORTALECIMIENTO MUNICIPAL</c:v>
                </c:pt>
              </c:strCache>
            </c:strRef>
          </c:cat>
          <c:val>
            <c:numRef>
              <c:f>'RESUMEN Y GRÁFICOS'!$B$66:$E$66</c:f>
              <c:numCache>
                <c:formatCode>0.00%</c:formatCode>
                <c:ptCount val="4"/>
                <c:pt idx="0">
                  <c:v>0.31216643749940731</c:v>
                </c:pt>
                <c:pt idx="2">
                  <c:v>0.68783356250059258</c:v>
                </c:pt>
              </c:numCache>
            </c:numRef>
          </c:val>
          <c:extLst>
            <c:ext xmlns:c16="http://schemas.microsoft.com/office/drawing/2014/chart" uri="{C3380CC4-5D6E-409C-BE32-E72D297353CC}">
              <c16:uniqueId val="{00000005-626E-4769-B0F7-D2BC22EFAA0C}"/>
            </c:ext>
          </c:extLst>
        </c:ser>
        <c:ser>
          <c:idx val="2"/>
          <c:order val="1"/>
          <c:tx>
            <c:strRef>
              <c:f>'RESUMEN Y GRÁFICOS'!$A$66</c:f>
              <c:strCache>
                <c:ptCount val="1"/>
                <c:pt idx="0">
                  <c:v>PARTICIPACIÓN RELATIVA (%)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7-626E-4769-B0F7-D2BC22EFAA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9-626E-4769-B0F7-D2BC22EFAA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B-626E-4769-B0F7-D2BC22EFAA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D-626E-4769-B0F7-D2BC22EFAA0C}"/>
              </c:ext>
            </c:extLst>
          </c:dPt>
          <c:cat>
            <c:strRef>
              <c:f>'RESUMEN Y GRÁFICOS'!$B$65:$E$65</c:f>
              <c:strCache>
                <c:ptCount val="3"/>
                <c:pt idx="0">
                  <c:v> PROGRAMA I ADMINISTRACIÓN GENERAL</c:v>
                </c:pt>
                <c:pt idx="2">
                  <c:v> PROGRAMA II GESTIÓN DE FORTALECIMIENTO MUNICIPAL</c:v>
                </c:pt>
              </c:strCache>
            </c:strRef>
          </c:cat>
          <c:val>
            <c:numRef>
              <c:f>'RESUMEN Y GRÁFICOS'!$B$66:$E$66</c:f>
              <c:numCache>
                <c:formatCode>0.00%</c:formatCode>
                <c:ptCount val="4"/>
                <c:pt idx="0">
                  <c:v>0.31216643749940731</c:v>
                </c:pt>
                <c:pt idx="2">
                  <c:v>0.68783356250059258</c:v>
                </c:pt>
              </c:numCache>
            </c:numRef>
          </c:val>
          <c:extLst>
            <c:ext xmlns:c16="http://schemas.microsoft.com/office/drawing/2014/chart" uri="{C3380CC4-5D6E-409C-BE32-E72D297353CC}">
              <c16:uniqueId val="{0000000E-626E-4769-B0F7-D2BC22EFAA0C}"/>
            </c:ext>
          </c:extLst>
        </c:ser>
        <c:ser>
          <c:idx val="0"/>
          <c:order val="2"/>
          <c:tx>
            <c:strRef>
              <c:f>'RESUMEN Y GRÁFICOS'!$A$66</c:f>
              <c:strCache>
                <c:ptCount val="1"/>
                <c:pt idx="0">
                  <c:v>PARTICIPACIÓN RELATIVA (%)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0-626E-4769-B0F7-D2BC22EFAA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2-626E-4769-B0F7-D2BC22EFAA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4-626E-4769-B0F7-D2BC22EFAA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6-626E-4769-B0F7-D2BC22EFAA0C}"/>
              </c:ext>
            </c:extLst>
          </c:dPt>
          <c:cat>
            <c:strRef>
              <c:f>'RESUMEN Y GRÁFICOS'!$B$65:$E$65</c:f>
              <c:strCache>
                <c:ptCount val="3"/>
                <c:pt idx="0">
                  <c:v> PROGRAMA I ADMINISTRACIÓN GENERAL</c:v>
                </c:pt>
                <c:pt idx="2">
                  <c:v> PROGRAMA II GESTIÓN DE FORTALECIMIENTO MUNICIPAL</c:v>
                </c:pt>
              </c:strCache>
            </c:strRef>
          </c:cat>
          <c:val>
            <c:numRef>
              <c:f>'RESUMEN Y GRÁFICOS'!$B$66:$E$66</c:f>
              <c:numCache>
                <c:formatCode>0.00%</c:formatCode>
                <c:ptCount val="4"/>
                <c:pt idx="0">
                  <c:v>0.31216643749940731</c:v>
                </c:pt>
                <c:pt idx="2">
                  <c:v>0.68783356250059258</c:v>
                </c:pt>
              </c:numCache>
            </c:numRef>
          </c:val>
          <c:extLst>
            <c:ext xmlns:c16="http://schemas.microsoft.com/office/drawing/2014/chart" uri="{C3380CC4-5D6E-409C-BE32-E72D297353CC}">
              <c16:uniqueId val="{00000017-626E-4769-B0F7-D2BC22EFAA0C}"/>
            </c:ext>
          </c:extLst>
        </c:ser>
        <c:dLbls>
          <c:showLegendKey val="0"/>
          <c:showVal val="0"/>
          <c:showCatName val="0"/>
          <c:showSerName val="0"/>
          <c:showPercent val="0"/>
          <c:showBubbleSize val="0"/>
          <c:showLeaderLines val="1"/>
        </c:dLbls>
      </c:pie3DChart>
    </c:plotArea>
    <c:legend>
      <c:legendPos val="b"/>
      <c:legendEntry>
        <c:idx val="1"/>
        <c:delete val="1"/>
      </c:legendEntry>
      <c:legendEntry>
        <c:idx val="3"/>
        <c:delete val="1"/>
      </c:legendEntry>
      <c:layout>
        <c:manualLayout>
          <c:xMode val="edge"/>
          <c:yMode val="edge"/>
          <c:x val="0.66669094488188974"/>
          <c:y val="0.40624890638670175"/>
          <c:w val="0.33328477690288716"/>
          <c:h val="0.408565908428113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txPr>
    <a:bodyPr/>
    <a:lstStyle/>
    <a:p>
      <a:pPr>
        <a:defRPr/>
      </a:pPr>
      <a:endParaRPr lang="es-C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800" b="1" i="0" baseline="0">
                <a:effectLst/>
              </a:rPr>
              <a:t>Gráfico N°6                                                                                                            </a:t>
            </a:r>
            <a:endParaRPr lang="es-CR">
              <a:effectLst/>
            </a:endParaRPr>
          </a:p>
          <a:p>
            <a:pPr>
              <a:defRPr/>
            </a:pPr>
            <a:r>
              <a:rPr lang="es-CR" sz="1800" b="1" i="0" baseline="0">
                <a:effectLst/>
              </a:rPr>
              <a:t> </a:t>
            </a:r>
            <a:r>
              <a:rPr lang="es-CR" sz="1800" b="1" i="0" u="none" strike="noStrike" baseline="0">
                <a:effectLst/>
              </a:rPr>
              <a:t>Ejecución Financiera Programa I  </a:t>
            </a:r>
            <a:r>
              <a:rPr lang="es-CR" sz="1400" b="1" i="0" u="none" strike="noStrike" baseline="0">
                <a:effectLst/>
              </a:rPr>
              <a:t>                                                                                                      </a:t>
            </a:r>
            <a:endParaRPr lang="es-CR" sz="1800" b="1" i="0" baseline="0">
              <a:effectLst/>
            </a:endParaRPr>
          </a:p>
        </c:rich>
      </c:tx>
      <c:layout>
        <c:manualLayout>
          <c:xMode val="edge"/>
          <c:yMode val="edge"/>
          <c:x val="0.2250555415557181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manualLayout>
          <c:layoutTarget val="inner"/>
          <c:xMode val="edge"/>
          <c:yMode val="edge"/>
          <c:x val="0.31288002352163263"/>
          <c:y val="0.19712415913635165"/>
          <c:w val="0.61748931156486464"/>
          <c:h val="0.72636499876001681"/>
        </c:manualLayout>
      </c:layout>
      <c:barChart>
        <c:barDir val="bar"/>
        <c:grouping val="clustered"/>
        <c:varyColors val="0"/>
        <c:ser>
          <c:idx val="0"/>
          <c:order val="0"/>
          <c:spPr>
            <a:solidFill>
              <a:schemeClr val="accent1"/>
            </a:solidFill>
            <a:ln w="19050">
              <a:solidFill>
                <a:schemeClr val="lt1"/>
              </a:solidFill>
            </a:ln>
            <a:effectLst/>
          </c:spPr>
          <c:invertIfNegative val="0"/>
          <c:dLbls>
            <c:dLbl>
              <c:idx val="0"/>
              <c:layout>
                <c:manualLayout>
                  <c:x val="1.7028741531190314E-2"/>
                  <c:y val="3.35272583195126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E2-42D7-A3E5-F30042EC08CF}"/>
                </c:ext>
              </c:extLst>
            </c:dLbl>
            <c:dLbl>
              <c:idx val="1"/>
              <c:layout>
                <c:manualLayout>
                  <c:x val="1.3747062118636449E-2"/>
                  <c:y val="-2.92684486259435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E2-42D7-A3E5-F30042EC08CF}"/>
                </c:ext>
              </c:extLst>
            </c:dLbl>
            <c:dLbl>
              <c:idx val="2"/>
              <c:layout>
                <c:manualLayout>
                  <c:x val="3.2422289348383979E-3"/>
                  <c:y val="7.63632632102119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E2-42D7-A3E5-F30042EC08CF}"/>
                </c:ext>
              </c:extLst>
            </c:dLbl>
            <c:dLbl>
              <c:idx val="3"/>
              <c:layout>
                <c:manualLayout>
                  <c:x val="1.1916903000280232E-2"/>
                  <c:y val="9.43253929331784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E2-42D7-A3E5-F30042EC08CF}"/>
                </c:ext>
              </c:extLst>
            </c:dLbl>
            <c:dLbl>
              <c:idx val="4"/>
              <c:layout>
                <c:manualLayout>
                  <c:x val="5.1401399605752506E-3"/>
                  <c:y val="2.26808720730403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E2-42D7-A3E5-F30042EC08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Y GRÁFICOS'!$B$43:$B$47</c:f>
              <c:strCache>
                <c:ptCount val="5"/>
                <c:pt idx="0">
                  <c:v>DEPARTAMENTO GESTIÓN DE FORTALECIMIENTO INSTITUCIONAL</c:v>
                </c:pt>
                <c:pt idx="1">
                  <c:v>INNOVACIÓN Y DESARROLLO </c:v>
                </c:pt>
                <c:pt idx="2">
                  <c:v>GESTIÓN SERVICIOS TÉCNICOS Y FINANCIAMIENTO </c:v>
                </c:pt>
                <c:pt idx="3">
                  <c:v>CAPACITACIÓN Y FORMACIÓN </c:v>
                </c:pt>
                <c:pt idx="4">
                  <c:v>TECNOLOGÍAS DE INFORMACIÓN </c:v>
                </c:pt>
              </c:strCache>
            </c:strRef>
          </c:cat>
          <c:val>
            <c:numRef>
              <c:f>'RESUMEN Y GRÁFICOS'!$K$43:$K$47</c:f>
              <c:numCache>
                <c:formatCode>0.00%</c:formatCode>
                <c:ptCount val="5"/>
                <c:pt idx="0">
                  <c:v>0.40468378389631093</c:v>
                </c:pt>
                <c:pt idx="1">
                  <c:v>0.2635320390692889</c:v>
                </c:pt>
                <c:pt idx="2">
                  <c:v>0.33969766164565618</c:v>
                </c:pt>
                <c:pt idx="3">
                  <c:v>0.10083152349190583</c:v>
                </c:pt>
                <c:pt idx="4">
                  <c:v>0.21560867873953976</c:v>
                </c:pt>
              </c:numCache>
            </c:numRef>
          </c:val>
          <c:extLst>
            <c:ext xmlns:c16="http://schemas.microsoft.com/office/drawing/2014/chart" uri="{C3380CC4-5D6E-409C-BE32-E72D297353CC}">
              <c16:uniqueId val="{00000000-F9E2-42D7-A3E5-F30042EC08CF}"/>
            </c:ext>
          </c:extLst>
        </c:ser>
        <c:dLbls>
          <c:showLegendKey val="0"/>
          <c:showVal val="0"/>
          <c:showCatName val="0"/>
          <c:showSerName val="0"/>
          <c:showPercent val="0"/>
          <c:showBubbleSize val="0"/>
        </c:dLbls>
        <c:gapWidth val="150"/>
        <c:axId val="655427736"/>
        <c:axId val="655428064"/>
      </c:barChart>
      <c:valAx>
        <c:axId val="65542806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55427736"/>
        <c:crosses val="autoZero"/>
        <c:crossBetween val="between"/>
      </c:valAx>
      <c:catAx>
        <c:axId val="65542773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5542806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800" b="1" i="0" baseline="0">
                <a:effectLst/>
              </a:rPr>
              <a:t>Gráfico N°5                                                                                                         </a:t>
            </a:r>
            <a:endParaRPr lang="es-CR">
              <a:effectLst/>
            </a:endParaRPr>
          </a:p>
          <a:p>
            <a:pPr>
              <a:defRPr/>
            </a:pPr>
            <a:r>
              <a:rPr lang="es-CR" sz="1800" b="1" i="0" baseline="0">
                <a:effectLst/>
              </a:rPr>
              <a:t>Ejecución Financiera Programa I                                                                                                            </a:t>
            </a:r>
            <a:endParaRPr lang="es-CR">
              <a:effectLst/>
            </a:endParaRPr>
          </a:p>
        </c:rich>
      </c:tx>
      <c:layout>
        <c:manualLayout>
          <c:xMode val="edge"/>
          <c:yMode val="edge"/>
          <c:x val="0.2304761904761904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Y GRÁFICOS'!$B$24:$B$32</c:f>
              <c:strCache>
                <c:ptCount val="9"/>
                <c:pt idx="0">
                  <c:v>JUNTA DIRECTIVA</c:v>
                </c:pt>
                <c:pt idx="1">
                  <c:v>AUDITORÍA INTERNA </c:v>
                </c:pt>
                <c:pt idx="2">
                  <c:v>CONTRALORÍA DE SERVICIOS </c:v>
                </c:pt>
                <c:pt idx="3">
                  <c:v>PRESIDENCIA EJECUTIVA </c:v>
                </c:pt>
                <c:pt idx="4">
                  <c:v>ASESORÍA JURÍDICA </c:v>
                </c:pt>
                <c:pt idx="5">
                  <c:v>PLANIFICACIÓN INSTITUCIONAL </c:v>
                </c:pt>
                <c:pt idx="6">
                  <c:v>DIRECCIÓN EJECUTIVA </c:v>
                </c:pt>
                <c:pt idx="7">
                  <c:v>ADMINISTRACIÓN HACENDARIA </c:v>
                </c:pt>
                <c:pt idx="8">
                  <c:v>DEPARTAMENTO ADMINISTRATIVO </c:v>
                </c:pt>
              </c:strCache>
            </c:strRef>
          </c:cat>
          <c:val>
            <c:numRef>
              <c:f>'RESUMEN Y GRÁFICOS'!$K$24:$K$32</c:f>
              <c:numCache>
                <c:formatCode>0.00%</c:formatCode>
                <c:ptCount val="9"/>
                <c:pt idx="0">
                  <c:v>0.57032388468719708</c:v>
                </c:pt>
                <c:pt idx="1">
                  <c:v>0.38704694781861126</c:v>
                </c:pt>
                <c:pt idx="2">
                  <c:v>0</c:v>
                </c:pt>
                <c:pt idx="3">
                  <c:v>0.79925422658909928</c:v>
                </c:pt>
                <c:pt idx="4">
                  <c:v>0.61494745564901276</c:v>
                </c:pt>
                <c:pt idx="5">
                  <c:v>0.63961151377148495</c:v>
                </c:pt>
                <c:pt idx="6">
                  <c:v>0.46035988724999033</c:v>
                </c:pt>
                <c:pt idx="7">
                  <c:v>0.55054790886959526</c:v>
                </c:pt>
                <c:pt idx="8">
                  <c:v>0.48163907445814919</c:v>
                </c:pt>
              </c:numCache>
            </c:numRef>
          </c:val>
          <c:extLst>
            <c:ext xmlns:c16="http://schemas.microsoft.com/office/drawing/2014/chart" uri="{C3380CC4-5D6E-409C-BE32-E72D297353CC}">
              <c16:uniqueId val="{00000000-BB5F-44D2-94CB-2DB6889A8CB5}"/>
            </c:ext>
          </c:extLst>
        </c:ser>
        <c:dLbls>
          <c:showLegendKey val="0"/>
          <c:showVal val="0"/>
          <c:showCatName val="0"/>
          <c:showSerName val="0"/>
          <c:showPercent val="0"/>
          <c:showBubbleSize val="0"/>
        </c:dLbls>
        <c:gapWidth val="182"/>
        <c:axId val="653512160"/>
        <c:axId val="653505600"/>
      </c:barChart>
      <c:catAx>
        <c:axId val="653512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53505600"/>
        <c:crosses val="autoZero"/>
        <c:auto val="1"/>
        <c:lblAlgn val="ctr"/>
        <c:lblOffset val="100"/>
        <c:noMultiLvlLbl val="0"/>
      </c:catAx>
      <c:valAx>
        <c:axId val="65350560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53512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800" b="1" i="0" baseline="0">
                <a:effectLst/>
              </a:rPr>
              <a:t>Gráfico N°7                                                                                                            </a:t>
            </a:r>
            <a:endParaRPr lang="es-CR">
              <a:effectLst/>
            </a:endParaRPr>
          </a:p>
          <a:p>
            <a:pPr>
              <a:defRPr/>
            </a:pPr>
            <a:r>
              <a:rPr lang="es-CR" sz="1800" b="1" i="0" baseline="0">
                <a:effectLst/>
              </a:rPr>
              <a:t> Ejecución Financiera General (Absoluta y Porcentual)</a:t>
            </a:r>
            <a:endParaRPr lang="es-CR">
              <a:effectLst/>
            </a:endParaRPr>
          </a:p>
          <a:p>
            <a:pPr>
              <a:defRPr/>
            </a:pPr>
            <a:r>
              <a:rPr lang="es-CR" sz="1800" b="1" i="0" baseline="0">
                <a:effectLst/>
              </a:rPr>
              <a:t>III EVALUACIÓN TRIMESTRAL POI -IFAM 2020 </a:t>
            </a:r>
            <a:endParaRPr lang="es-CR">
              <a:effectLst/>
            </a:endParaRPr>
          </a:p>
          <a:p>
            <a:pPr>
              <a:defRPr/>
            </a:pPr>
            <a:endParaRPr lang="es-C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1"/>
          <c:order val="1"/>
          <c:tx>
            <c:strRef>
              <c:f>'RESUMEN Y GRÁFICOS'!$J$54</c:f>
              <c:strCache>
                <c:ptCount val="1"/>
                <c:pt idx="0">
                  <c:v>EJECUCIÖN MONTO (en miles de millones)</c:v>
                </c:pt>
              </c:strCache>
            </c:strRef>
          </c:tx>
          <c:spPr>
            <a:solidFill>
              <a:schemeClr val="accent2"/>
            </a:solidFill>
            <a:ln>
              <a:noFill/>
            </a:ln>
            <a:effectLst/>
          </c:spPr>
          <c:invertIfNegative val="0"/>
          <c:dLbls>
            <c:dLbl>
              <c:idx val="0"/>
              <c:layout>
                <c:manualLayout>
                  <c:x val="3.9447731755423701E-3"/>
                  <c:y val="-3.60847941518766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68-457B-BDC6-7A56307E80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Y GRÁFICOS'!$A$55:$A$56</c:f>
              <c:strCache>
                <c:ptCount val="2"/>
                <c:pt idx="0">
                  <c:v> PROGRAMA I ADMINISTRACIÓN GENERAL</c:v>
                </c:pt>
                <c:pt idx="1">
                  <c:v> PROGRAMA II GESTIÓN DE FORTALECIMIENTO MUNICIPAL</c:v>
                </c:pt>
              </c:strCache>
            </c:strRef>
          </c:cat>
          <c:val>
            <c:numRef>
              <c:f>'RESUMEN Y GRÁFICOS'!$J$55:$J$56</c:f>
              <c:numCache>
                <c:formatCode>"₡"#\ ##0.00;[Red]"₡"#\ ##0.00</c:formatCode>
                <c:ptCount val="2"/>
                <c:pt idx="0">
                  <c:v>4548017991.4200001</c:v>
                </c:pt>
                <c:pt idx="1">
                  <c:v>5504015701.8199635</c:v>
                </c:pt>
              </c:numCache>
            </c:numRef>
          </c:val>
          <c:extLst>
            <c:ext xmlns:c16="http://schemas.microsoft.com/office/drawing/2014/chart" uri="{C3380CC4-5D6E-409C-BE32-E72D297353CC}">
              <c16:uniqueId val="{00000001-5968-457B-BDC6-7A56307E80F7}"/>
            </c:ext>
          </c:extLst>
        </c:ser>
        <c:dLbls>
          <c:showLegendKey val="0"/>
          <c:showVal val="0"/>
          <c:showCatName val="0"/>
          <c:showSerName val="0"/>
          <c:showPercent val="0"/>
          <c:showBubbleSize val="0"/>
        </c:dLbls>
        <c:gapWidth val="219"/>
        <c:overlap val="-27"/>
        <c:axId val="655418552"/>
        <c:axId val="655415600"/>
        <c:extLst>
          <c:ext xmlns:c15="http://schemas.microsoft.com/office/drawing/2012/chart" uri="{02D57815-91ED-43cb-92C2-25804820EDAC}">
            <c15:filteredBarSeries>
              <c15:ser>
                <c:idx val="0"/>
                <c:order val="0"/>
                <c:tx>
                  <c:strRef>
                    <c:extLst>
                      <c:ext uri="{02D57815-91ED-43cb-92C2-25804820EDAC}">
                        <c15:formulaRef>
                          <c15:sqref>'RESUMEN Y GRÁFICOS'!$B$54</c15:sqref>
                        </c15:formulaRef>
                      </c:ext>
                    </c:extLst>
                    <c:strCache>
                      <c:ptCount val="1"/>
                    </c:strCache>
                  </c:strRef>
                </c:tx>
                <c:spPr>
                  <a:solidFill>
                    <a:schemeClr val="accent1"/>
                  </a:solidFill>
                  <a:ln>
                    <a:noFill/>
                  </a:ln>
                  <a:effectLst/>
                </c:spPr>
                <c:invertIfNegative val="0"/>
                <c:cat>
                  <c:strRef>
                    <c:extLst>
                      <c:ext uri="{02D57815-91ED-43cb-92C2-25804820EDAC}">
                        <c15:formulaRef>
                          <c15:sqref>'RESUMEN Y GRÁFICOS'!$A$55:$A$56</c15:sqref>
                        </c15:formulaRef>
                      </c:ext>
                    </c:extLst>
                    <c:strCache>
                      <c:ptCount val="2"/>
                      <c:pt idx="0">
                        <c:v> PROGRAMA I ADMINISTRACIÓN GENERAL</c:v>
                      </c:pt>
                      <c:pt idx="1">
                        <c:v> PROGRAMA II GESTIÓN DE FORTALECIMIENTO MUNICIPAL</c:v>
                      </c:pt>
                    </c:strCache>
                  </c:strRef>
                </c:cat>
                <c:val>
                  <c:numRef>
                    <c:extLst>
                      <c:ext uri="{02D57815-91ED-43cb-92C2-25804820EDAC}">
                        <c15:formulaRef>
                          <c15:sqref>'RESUMEN Y GRÁFICOS'!$B$55:$B$56</c15:sqref>
                        </c15:formulaRef>
                      </c:ext>
                    </c:extLst>
                    <c:numCache>
                      <c:formatCode>General</c:formatCode>
                      <c:ptCount val="2"/>
                    </c:numCache>
                  </c:numRef>
                </c:val>
                <c:extLst>
                  <c:ext xmlns:c16="http://schemas.microsoft.com/office/drawing/2014/chart" uri="{C3380CC4-5D6E-409C-BE32-E72D297353CC}">
                    <c16:uniqueId val="{00000000-5968-457B-BDC6-7A56307E80F7}"/>
                  </c:ext>
                </c:extLst>
              </c15:ser>
            </c15:filteredBarSeries>
          </c:ext>
        </c:extLst>
      </c:barChart>
      <c:lineChart>
        <c:grouping val="standard"/>
        <c:varyColors val="0"/>
        <c:ser>
          <c:idx val="2"/>
          <c:order val="2"/>
          <c:tx>
            <c:strRef>
              <c:f>'RESUMEN Y GRÁFICOS'!$K$54</c:f>
              <c:strCache>
                <c:ptCount val="1"/>
                <c:pt idx="0">
                  <c:v>% EJECUCIÓN ACUMULADA</c:v>
                </c:pt>
              </c:strCache>
            </c:strRef>
          </c:tx>
          <c:spPr>
            <a:ln w="28575" cap="rnd">
              <a:solidFill>
                <a:schemeClr val="accent3"/>
              </a:solidFill>
              <a:round/>
            </a:ln>
            <a:effectLst/>
          </c:spPr>
          <c:marker>
            <c:symbol val="none"/>
          </c:marker>
          <c:dLbls>
            <c:dLbl>
              <c:idx val="0"/>
              <c:layout>
                <c:manualLayout>
                  <c:x val="-5.128205128205128E-2"/>
                  <c:y val="0.3031122708757637"/>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fld id="{C1748149-F2D0-4CD3-9FCA-A9D7B45D44D5}" type="VALUE">
                      <a:rPr lang="en-US" sz="1200" b="1">
                        <a:solidFill>
                          <a:schemeClr val="bg1"/>
                        </a:solidFill>
                      </a:rPr>
                      <a:pPr>
                        <a:defRPr b="1">
                          <a:solidFill>
                            <a:schemeClr val="bg1"/>
                          </a:solidFill>
                        </a:defRPr>
                      </a:pPr>
                      <a:t>[VALOR]</a:t>
                    </a:fld>
                    <a:endParaRPr lang="es-C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R"/>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5968-457B-BDC6-7A56307E80F7}"/>
                </c:ext>
              </c:extLst>
            </c:dLbl>
            <c:dLbl>
              <c:idx val="1"/>
              <c:layout>
                <c:manualLayout>
                  <c:x val="-4.3392504930966469E-2"/>
                  <c:y val="6.4952629473377876E-2"/>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fld id="{C9C86AD5-E160-45D6-8AD5-79B38DAFCBE7}" type="VALUE">
                      <a:rPr lang="en-US" sz="1200" b="1">
                        <a:solidFill>
                          <a:schemeClr val="bg1"/>
                        </a:solidFill>
                      </a:rPr>
                      <a:pPr>
                        <a:defRPr b="1">
                          <a:solidFill>
                            <a:schemeClr val="bg1"/>
                          </a:solidFill>
                        </a:defRPr>
                      </a:pPr>
                      <a:t>[VALOR]</a:t>
                    </a:fld>
                    <a:endParaRPr lang="es-C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R"/>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5968-457B-BDC6-7A56307E80F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Y GRÁFICOS'!$A$55:$A$56</c:f>
              <c:strCache>
                <c:ptCount val="2"/>
                <c:pt idx="0">
                  <c:v> PROGRAMA I ADMINISTRACIÓN GENERAL</c:v>
                </c:pt>
                <c:pt idx="1">
                  <c:v> PROGRAMA II GESTIÓN DE FORTALECIMIENTO MUNICIPAL</c:v>
                </c:pt>
              </c:strCache>
            </c:strRef>
          </c:cat>
          <c:val>
            <c:numRef>
              <c:f>'RESUMEN Y GRÁFICOS'!$K$55:$K$56</c:f>
              <c:numCache>
                <c:formatCode>0.00%</c:formatCode>
                <c:ptCount val="2"/>
                <c:pt idx="0">
                  <c:v>0.58189692724460751</c:v>
                </c:pt>
                <c:pt idx="1">
                  <c:v>0.31959972650310697</c:v>
                </c:pt>
              </c:numCache>
            </c:numRef>
          </c:val>
          <c:smooth val="0"/>
          <c:extLst>
            <c:ext xmlns:c16="http://schemas.microsoft.com/office/drawing/2014/chart" uri="{C3380CC4-5D6E-409C-BE32-E72D297353CC}">
              <c16:uniqueId val="{00000002-5968-457B-BDC6-7A56307E80F7}"/>
            </c:ext>
          </c:extLst>
        </c:ser>
        <c:dLbls>
          <c:showLegendKey val="0"/>
          <c:showVal val="0"/>
          <c:showCatName val="0"/>
          <c:showSerName val="0"/>
          <c:showPercent val="0"/>
          <c:showBubbleSize val="0"/>
        </c:dLbls>
        <c:marker val="1"/>
        <c:smooth val="0"/>
        <c:axId val="655428720"/>
        <c:axId val="655425768"/>
      </c:lineChart>
      <c:catAx>
        <c:axId val="655418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55415600"/>
        <c:crosses val="autoZero"/>
        <c:auto val="1"/>
        <c:lblAlgn val="ctr"/>
        <c:lblOffset val="100"/>
        <c:noMultiLvlLbl val="0"/>
      </c:catAx>
      <c:valAx>
        <c:axId val="6554156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00;[Red]&quot;₡&quot;#\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55418552"/>
        <c:crosses val="autoZero"/>
        <c:crossBetween val="between"/>
      </c:valAx>
      <c:valAx>
        <c:axId val="655425768"/>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655428720"/>
        <c:crosses val="max"/>
        <c:crossBetween val="between"/>
      </c:valAx>
      <c:catAx>
        <c:axId val="655428720"/>
        <c:scaling>
          <c:orientation val="minMax"/>
        </c:scaling>
        <c:delete val="1"/>
        <c:axPos val="b"/>
        <c:numFmt formatCode="General" sourceLinked="1"/>
        <c:majorTickMark val="none"/>
        <c:minorTickMark val="none"/>
        <c:tickLblPos val="nextTo"/>
        <c:crossAx val="6554257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1109383</xdr:colOff>
      <xdr:row>0</xdr:row>
      <xdr:rowOff>0</xdr:rowOff>
    </xdr:from>
    <xdr:to>
      <xdr:col>12</xdr:col>
      <xdr:colOff>1474656</xdr:colOff>
      <xdr:row>1</xdr:row>
      <xdr:rowOff>25400</xdr:rowOff>
    </xdr:to>
    <xdr:pic>
      <xdr:nvPicPr>
        <xdr:cNvPr id="2" name="1 Imagen" descr="logo final Ministerio de HAcienda-01">
          <a:extLst>
            <a:ext uri="{FF2B5EF4-FFF2-40B4-BE49-F238E27FC236}">
              <a16:creationId xmlns:a16="http://schemas.microsoft.com/office/drawing/2014/main" id="{008136DC-EE15-4239-8644-B7F1BF703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1" y="0"/>
          <a:ext cx="1754802" cy="899459"/>
        </a:xfrm>
        <a:prstGeom prst="rect">
          <a:avLst/>
        </a:prstGeom>
        <a:noFill/>
        <a:ln>
          <a:noFill/>
        </a:ln>
      </xdr:spPr>
    </xdr:pic>
    <xdr:clientData/>
  </xdr:twoCellAnchor>
  <xdr:twoCellAnchor editAs="oneCell">
    <xdr:from>
      <xdr:col>0</xdr:col>
      <xdr:colOff>0</xdr:colOff>
      <xdr:row>0</xdr:row>
      <xdr:rowOff>0</xdr:rowOff>
    </xdr:from>
    <xdr:to>
      <xdr:col>11</xdr:col>
      <xdr:colOff>255613</xdr:colOff>
      <xdr:row>0</xdr:row>
      <xdr:rowOff>759760</xdr:rowOff>
    </xdr:to>
    <xdr:pic>
      <xdr:nvPicPr>
        <xdr:cNvPr id="3" name="2 Imagen">
          <a:extLst>
            <a:ext uri="{FF2B5EF4-FFF2-40B4-BE49-F238E27FC236}">
              <a16:creationId xmlns:a16="http://schemas.microsoft.com/office/drawing/2014/main" id="{630C933B-E96E-4B51-9655-0BB181E5FA7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22731" cy="759760"/>
        </a:xfrm>
        <a:prstGeom prst="rect">
          <a:avLst/>
        </a:prstGeom>
        <a:noFill/>
        <a:ln>
          <a:noFill/>
        </a:ln>
      </xdr:spPr>
    </xdr:pic>
    <xdr:clientData/>
  </xdr:twoCellAnchor>
  <xdr:twoCellAnchor editAs="oneCell">
    <xdr:from>
      <xdr:col>13</xdr:col>
      <xdr:colOff>1143001</xdr:colOff>
      <xdr:row>0</xdr:row>
      <xdr:rowOff>89647</xdr:rowOff>
    </xdr:from>
    <xdr:to>
      <xdr:col>13</xdr:col>
      <xdr:colOff>2569207</xdr:colOff>
      <xdr:row>0</xdr:row>
      <xdr:rowOff>839766</xdr:rowOff>
    </xdr:to>
    <xdr:pic>
      <xdr:nvPicPr>
        <xdr:cNvPr id="4" name="Imagen 3">
          <a:extLst>
            <a:ext uri="{FF2B5EF4-FFF2-40B4-BE49-F238E27FC236}">
              <a16:creationId xmlns:a16="http://schemas.microsoft.com/office/drawing/2014/main" id="{0C3D127F-A8EC-49FC-B6B5-0C1FB86F7E4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90030" y="89647"/>
          <a:ext cx="1426206" cy="7501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825500</xdr:colOff>
      <xdr:row>0</xdr:row>
      <xdr:rowOff>82550</xdr:rowOff>
    </xdr:from>
    <xdr:to>
      <xdr:col>12</xdr:col>
      <xdr:colOff>949237</xdr:colOff>
      <xdr:row>1</xdr:row>
      <xdr:rowOff>425450</xdr:rowOff>
    </xdr:to>
    <xdr:pic>
      <xdr:nvPicPr>
        <xdr:cNvPr id="2" name="1 Imagen" descr="logo final Ministerio de HAcienda-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9000" y="82550"/>
          <a:ext cx="1652817" cy="609600"/>
        </a:xfrm>
        <a:prstGeom prst="rect">
          <a:avLst/>
        </a:prstGeom>
        <a:noFill/>
        <a:ln>
          <a:noFill/>
        </a:ln>
      </xdr:spPr>
    </xdr:pic>
    <xdr:clientData/>
  </xdr:twoCellAnchor>
  <xdr:twoCellAnchor editAs="oneCell">
    <xdr:from>
      <xdr:col>10</xdr:col>
      <xdr:colOff>12700</xdr:colOff>
      <xdr:row>0</xdr:row>
      <xdr:rowOff>204259</xdr:rowOff>
    </xdr:from>
    <xdr:to>
      <xdr:col>11</xdr:col>
      <xdr:colOff>77592</xdr:colOff>
      <xdr:row>1</xdr:row>
      <xdr:rowOff>474981</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 y="204259"/>
          <a:ext cx="1581272" cy="537422"/>
        </a:xfrm>
        <a:prstGeom prst="rect">
          <a:avLst/>
        </a:prstGeom>
        <a:noFill/>
        <a:ln>
          <a:noFill/>
        </a:ln>
      </xdr:spPr>
    </xdr:pic>
    <xdr:clientData/>
  </xdr:twoCellAnchor>
  <xdr:twoCellAnchor editAs="oneCell">
    <xdr:from>
      <xdr:col>13</xdr:col>
      <xdr:colOff>952500</xdr:colOff>
      <xdr:row>0</xdr:row>
      <xdr:rowOff>76200</xdr:rowOff>
    </xdr:from>
    <xdr:to>
      <xdr:col>14</xdr:col>
      <xdr:colOff>501683</xdr:colOff>
      <xdr:row>1</xdr:row>
      <xdr:rowOff>561860</xdr:rowOff>
    </xdr:to>
    <xdr:pic>
      <xdr:nvPicPr>
        <xdr:cNvPr id="4" name="Imagen 3">
          <a:extLst>
            <a:ext uri="{FF2B5EF4-FFF2-40B4-BE49-F238E27FC236}">
              <a16:creationId xmlns:a16="http://schemas.microsoft.com/office/drawing/2014/main" id="{C8159B80-AB1C-49D5-8EBE-D05A19FE69E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97500" y="76200"/>
          <a:ext cx="1403383" cy="752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361950</xdr:colOff>
      <xdr:row>105</xdr:row>
      <xdr:rowOff>152400</xdr:rowOff>
    </xdr:from>
    <xdr:to>
      <xdr:col>4</xdr:col>
      <xdr:colOff>608479</xdr:colOff>
      <xdr:row>129</xdr:row>
      <xdr:rowOff>59951</xdr:rowOff>
    </xdr:to>
    <xdr:graphicFrame macro="">
      <xdr:nvGraphicFramePr>
        <xdr:cNvPr id="2" name="Gráfico 1">
          <a:extLst>
            <a:ext uri="{FF2B5EF4-FFF2-40B4-BE49-F238E27FC236}">
              <a16:creationId xmlns:a16="http://schemas.microsoft.com/office/drawing/2014/main" id="{F4949619-29C9-4522-B250-CAF48C6DD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674034</xdr:colOff>
      <xdr:row>106</xdr:row>
      <xdr:rowOff>117996</xdr:rowOff>
    </xdr:from>
    <xdr:to>
      <xdr:col>13</xdr:col>
      <xdr:colOff>555924</xdr:colOff>
      <xdr:row>129</xdr:row>
      <xdr:rowOff>57150</xdr:rowOff>
    </xdr:to>
    <xdr:graphicFrame macro="">
      <xdr:nvGraphicFramePr>
        <xdr:cNvPr id="3" name="Gráfico 2">
          <a:extLst>
            <a:ext uri="{FF2B5EF4-FFF2-40B4-BE49-F238E27FC236}">
              <a16:creationId xmlns:a16="http://schemas.microsoft.com/office/drawing/2014/main" id="{A71B2FD3-FF65-423F-BB21-453B731816DB}"/>
            </a:ext>
            <a:ext uri="{147F2762-F138-4A5C-976F-8EAC2B608ADB}">
              <a16:predDERef xmlns:a16="http://schemas.microsoft.com/office/drawing/2014/main" pred="{1328F55B-7541-4C8C-97AF-EA14C16DBF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84</xdr:row>
      <xdr:rowOff>120687</xdr:rowOff>
    </xdr:from>
    <xdr:to>
      <xdr:col>4</xdr:col>
      <xdr:colOff>485775</xdr:colOff>
      <xdr:row>103</xdr:row>
      <xdr:rowOff>113067</xdr:rowOff>
    </xdr:to>
    <xdr:graphicFrame macro="">
      <xdr:nvGraphicFramePr>
        <xdr:cNvPr id="4" name="Gráfico 3">
          <a:extLst>
            <a:ext uri="{FF2B5EF4-FFF2-40B4-BE49-F238E27FC236}">
              <a16:creationId xmlns:a16="http://schemas.microsoft.com/office/drawing/2014/main" id="{59F75111-562D-48A5-9D80-E8D93CD179DA}"/>
            </a:ext>
            <a:ext uri="{147F2762-F138-4A5C-976F-8EAC2B608ADB}">
              <a16:predDERef xmlns:a16="http://schemas.microsoft.com/office/drawing/2014/main" pred="{8A6E676A-8EC0-487F-8C80-7BE59E85B7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676275</xdr:colOff>
      <xdr:row>130</xdr:row>
      <xdr:rowOff>151727</xdr:rowOff>
    </xdr:from>
    <xdr:to>
      <xdr:col>4</xdr:col>
      <xdr:colOff>847725</xdr:colOff>
      <xdr:row>154</xdr:row>
      <xdr:rowOff>72839</xdr:rowOff>
    </xdr:to>
    <xdr:graphicFrame macro="">
      <xdr:nvGraphicFramePr>
        <xdr:cNvPr id="5" name="Gráfico 4">
          <a:extLst>
            <a:ext uri="{FF2B5EF4-FFF2-40B4-BE49-F238E27FC236}">
              <a16:creationId xmlns:a16="http://schemas.microsoft.com/office/drawing/2014/main" id="{AEBC95DA-FDC9-445C-9D93-A1C73F486CE4}"/>
            </a:ext>
            <a:ext uri="{147F2762-F138-4A5C-976F-8EAC2B608ADB}">
              <a16:predDERef xmlns:a16="http://schemas.microsoft.com/office/drawing/2014/main" pred="{FCACAFC9-A647-47ED-B97D-AA3656D500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1027691</xdr:colOff>
      <xdr:row>130</xdr:row>
      <xdr:rowOff>184392</xdr:rowOff>
    </xdr:from>
    <xdr:to>
      <xdr:col>10</xdr:col>
      <xdr:colOff>609600</xdr:colOff>
      <xdr:row>154</xdr:row>
      <xdr:rowOff>123825</xdr:rowOff>
    </xdr:to>
    <xdr:graphicFrame macro="">
      <xdr:nvGraphicFramePr>
        <xdr:cNvPr id="6" name="Gráfico 5">
          <a:extLst>
            <a:ext uri="{FF2B5EF4-FFF2-40B4-BE49-F238E27FC236}">
              <a16:creationId xmlns:a16="http://schemas.microsoft.com/office/drawing/2014/main" id="{B10B7C14-9A44-498F-B641-0022B887E8D7}"/>
            </a:ext>
            <a:ext uri="{147F2762-F138-4A5C-976F-8EAC2B608ADB}">
              <a16:predDERef xmlns:a16="http://schemas.microsoft.com/office/drawing/2014/main" pred="{32B823B9-1B16-4771-AEB1-F60B5C0C0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257174</xdr:colOff>
      <xdr:row>84</xdr:row>
      <xdr:rowOff>123824</xdr:rowOff>
    </xdr:from>
    <xdr:to>
      <xdr:col>10</xdr:col>
      <xdr:colOff>428624</xdr:colOff>
      <xdr:row>103</xdr:row>
      <xdr:rowOff>171449</xdr:rowOff>
    </xdr:to>
    <xdr:graphicFrame macro="">
      <xdr:nvGraphicFramePr>
        <xdr:cNvPr id="7" name="Gráfico 6">
          <a:extLst>
            <a:ext uri="{FF2B5EF4-FFF2-40B4-BE49-F238E27FC236}">
              <a16:creationId xmlns:a16="http://schemas.microsoft.com/office/drawing/2014/main" id="{F5C141D0-D362-4428-B512-FD0B8B2129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119061</xdr:colOff>
      <xdr:row>156</xdr:row>
      <xdr:rowOff>76199</xdr:rowOff>
    </xdr:from>
    <xdr:to>
      <xdr:col>11</xdr:col>
      <xdr:colOff>95249</xdr:colOff>
      <xdr:row>177</xdr:row>
      <xdr:rowOff>76200</xdr:rowOff>
    </xdr:to>
    <xdr:graphicFrame macro="">
      <xdr:nvGraphicFramePr>
        <xdr:cNvPr id="8" name="Gráfico 7">
          <a:extLst>
            <a:ext uri="{FF2B5EF4-FFF2-40B4-BE49-F238E27FC236}">
              <a16:creationId xmlns:a16="http://schemas.microsoft.com/office/drawing/2014/main" id="{DA4E42D3-D19B-4226-98E3-44FADDEC0B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257175</xdr:colOff>
      <xdr:row>156</xdr:row>
      <xdr:rowOff>90487</xdr:rowOff>
    </xdr:from>
    <xdr:to>
      <xdr:col>4</xdr:col>
      <xdr:colOff>885825</xdr:colOff>
      <xdr:row>177</xdr:row>
      <xdr:rowOff>142875</xdr:rowOff>
    </xdr:to>
    <xdr:graphicFrame macro="">
      <xdr:nvGraphicFramePr>
        <xdr:cNvPr id="9" name="Gráfico 8">
          <a:extLst>
            <a:ext uri="{FF2B5EF4-FFF2-40B4-BE49-F238E27FC236}">
              <a16:creationId xmlns:a16="http://schemas.microsoft.com/office/drawing/2014/main" id="{AE453115-5F82-4F55-9B4C-B9E54D3252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314325</xdr:colOff>
      <xdr:row>180</xdr:row>
      <xdr:rowOff>42861</xdr:rowOff>
    </xdr:from>
    <xdr:to>
      <xdr:col>4</xdr:col>
      <xdr:colOff>742950</xdr:colOff>
      <xdr:row>202</xdr:row>
      <xdr:rowOff>142874</xdr:rowOff>
    </xdr:to>
    <xdr:graphicFrame macro="">
      <xdr:nvGraphicFramePr>
        <xdr:cNvPr id="10" name="Gráfico 9">
          <a:extLst>
            <a:ext uri="{FF2B5EF4-FFF2-40B4-BE49-F238E27FC236}">
              <a16:creationId xmlns:a16="http://schemas.microsoft.com/office/drawing/2014/main" id="{8A8B6D77-C10F-412E-8782-FBCFADFEBC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619124</xdr:colOff>
      <xdr:row>179</xdr:row>
      <xdr:rowOff>47626</xdr:rowOff>
    </xdr:from>
    <xdr:to>
      <xdr:col>12</xdr:col>
      <xdr:colOff>381000</xdr:colOff>
      <xdr:row>204</xdr:row>
      <xdr:rowOff>76200</xdr:rowOff>
    </xdr:to>
    <xdr:graphicFrame macro="">
      <xdr:nvGraphicFramePr>
        <xdr:cNvPr id="11" name="Gráfico 10">
          <a:extLst>
            <a:ext uri="{FF2B5EF4-FFF2-40B4-BE49-F238E27FC236}">
              <a16:creationId xmlns:a16="http://schemas.microsoft.com/office/drawing/2014/main" id="{D9FCCBD8-66EF-463B-AAC3-2D1E584518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714375</xdr:colOff>
      <xdr:row>206</xdr:row>
      <xdr:rowOff>33337</xdr:rowOff>
    </xdr:from>
    <xdr:to>
      <xdr:col>5</xdr:col>
      <xdr:colOff>152400</xdr:colOff>
      <xdr:row>231</xdr:row>
      <xdr:rowOff>142875</xdr:rowOff>
    </xdr:to>
    <xdr:graphicFrame macro="">
      <xdr:nvGraphicFramePr>
        <xdr:cNvPr id="12" name="Gráfico 11">
          <a:extLst>
            <a:ext uri="{FF2B5EF4-FFF2-40B4-BE49-F238E27FC236}">
              <a16:creationId xmlns:a16="http://schemas.microsoft.com/office/drawing/2014/main" id="{5035593E-0426-4139-9DC6-EC716C4BF4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50800</xdr:colOff>
      <xdr:row>25</xdr:row>
      <xdr:rowOff>19050</xdr:rowOff>
    </xdr:from>
    <xdr:ext cx="1219200" cy="650689"/>
    <xdr:pic>
      <xdr:nvPicPr>
        <xdr:cNvPr id="2" name="Imagen 1">
          <a:extLst>
            <a:ext uri="{FF2B5EF4-FFF2-40B4-BE49-F238E27FC236}">
              <a16:creationId xmlns:a16="http://schemas.microsoft.com/office/drawing/2014/main" id="{86679905-66D6-4A1D-86AC-78A2144D08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478155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207645</xdr:colOff>
      <xdr:row>51</xdr:row>
      <xdr:rowOff>57150</xdr:rowOff>
    </xdr:from>
    <xdr:ext cx="1219200" cy="650689"/>
    <xdr:pic>
      <xdr:nvPicPr>
        <xdr:cNvPr id="3" name="Imagen 2">
          <a:extLst>
            <a:ext uri="{FF2B5EF4-FFF2-40B4-BE49-F238E27FC236}">
              <a16:creationId xmlns:a16="http://schemas.microsoft.com/office/drawing/2014/main" id="{D7D8B6FF-18AB-4A62-9081-798B56F14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977265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207645</xdr:colOff>
      <xdr:row>77</xdr:row>
      <xdr:rowOff>57150</xdr:rowOff>
    </xdr:from>
    <xdr:ext cx="1219200" cy="650689"/>
    <xdr:pic>
      <xdr:nvPicPr>
        <xdr:cNvPr id="4" name="Imagen 3">
          <a:extLst>
            <a:ext uri="{FF2B5EF4-FFF2-40B4-BE49-F238E27FC236}">
              <a16:creationId xmlns:a16="http://schemas.microsoft.com/office/drawing/2014/main" id="{289AD2DB-9209-4B3E-B0D9-8EF512F563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1472565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207645</xdr:colOff>
      <xdr:row>103</xdr:row>
      <xdr:rowOff>57150</xdr:rowOff>
    </xdr:from>
    <xdr:ext cx="1219200" cy="650689"/>
    <xdr:pic>
      <xdr:nvPicPr>
        <xdr:cNvPr id="5" name="Imagen 4">
          <a:extLst>
            <a:ext uri="{FF2B5EF4-FFF2-40B4-BE49-F238E27FC236}">
              <a16:creationId xmlns:a16="http://schemas.microsoft.com/office/drawing/2014/main" id="{5792EDEE-4AF7-440C-BC06-717CE199B4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1967865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207645</xdr:colOff>
      <xdr:row>129</xdr:row>
      <xdr:rowOff>57150</xdr:rowOff>
    </xdr:from>
    <xdr:ext cx="1219200" cy="650689"/>
    <xdr:pic>
      <xdr:nvPicPr>
        <xdr:cNvPr id="6" name="Imagen 5">
          <a:extLst>
            <a:ext uri="{FF2B5EF4-FFF2-40B4-BE49-F238E27FC236}">
              <a16:creationId xmlns:a16="http://schemas.microsoft.com/office/drawing/2014/main" id="{DB5D37F1-4818-4CFD-BC20-003B7CCDAF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2463165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207645</xdr:colOff>
      <xdr:row>155</xdr:row>
      <xdr:rowOff>57150</xdr:rowOff>
    </xdr:from>
    <xdr:ext cx="1219200" cy="650689"/>
    <xdr:pic>
      <xdr:nvPicPr>
        <xdr:cNvPr id="7" name="Imagen 6">
          <a:extLst>
            <a:ext uri="{FF2B5EF4-FFF2-40B4-BE49-F238E27FC236}">
              <a16:creationId xmlns:a16="http://schemas.microsoft.com/office/drawing/2014/main" id="{D17D6942-0811-421A-91EC-ED6C1C0EF7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2958465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8300" cy="876300"/>
    <xdr:pic>
      <xdr:nvPicPr>
        <xdr:cNvPr id="8" name="Imagen 7">
          <a:extLst>
            <a:ext uri="{FF2B5EF4-FFF2-40B4-BE49-F238E27FC236}">
              <a16:creationId xmlns:a16="http://schemas.microsoft.com/office/drawing/2014/main" id="{B44C323E-BB64-4114-8BC4-214E5EFB62F2}"/>
            </a:ext>
            <a:ext uri="{147F2762-F138-4A5C-976F-8EAC2B608ADB}">
              <a16:predDERef xmlns:a16="http://schemas.microsoft.com/office/drawing/2014/main" pred="{A0CEE43E-0AD3-4A72-9DEE-4339E18EFB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876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50800</xdr:colOff>
      <xdr:row>25</xdr:row>
      <xdr:rowOff>19050</xdr:rowOff>
    </xdr:from>
    <xdr:ext cx="1219200" cy="650689"/>
    <xdr:pic>
      <xdr:nvPicPr>
        <xdr:cNvPr id="6" name="Imagen 5">
          <a:extLst>
            <a:ext uri="{FF2B5EF4-FFF2-40B4-BE49-F238E27FC236}">
              <a16:creationId xmlns:a16="http://schemas.microsoft.com/office/drawing/2014/main" id="{5BF2748C-3304-4D33-9F4E-8904EA8394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948055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207645</xdr:colOff>
      <xdr:row>51</xdr:row>
      <xdr:rowOff>57150</xdr:rowOff>
    </xdr:from>
    <xdr:ext cx="1219200" cy="650689"/>
    <xdr:pic>
      <xdr:nvPicPr>
        <xdr:cNvPr id="7" name="Imagen 6">
          <a:extLst>
            <a:ext uri="{FF2B5EF4-FFF2-40B4-BE49-F238E27FC236}">
              <a16:creationId xmlns:a16="http://schemas.microsoft.com/office/drawing/2014/main" id="{2BD8B17C-B83D-4951-8B6D-D180ED0633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2485263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207645</xdr:colOff>
      <xdr:row>77</xdr:row>
      <xdr:rowOff>57150</xdr:rowOff>
    </xdr:from>
    <xdr:ext cx="1219200" cy="650689"/>
    <xdr:pic>
      <xdr:nvPicPr>
        <xdr:cNvPr id="8" name="Imagen 7">
          <a:extLst>
            <a:ext uri="{FF2B5EF4-FFF2-40B4-BE49-F238E27FC236}">
              <a16:creationId xmlns:a16="http://schemas.microsoft.com/office/drawing/2014/main" id="{F61DDE4B-3FDF-412F-BCAD-327C9091D9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3216021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207645</xdr:colOff>
      <xdr:row>103</xdr:row>
      <xdr:rowOff>57150</xdr:rowOff>
    </xdr:from>
    <xdr:ext cx="1219200" cy="650689"/>
    <xdr:pic>
      <xdr:nvPicPr>
        <xdr:cNvPr id="9" name="Imagen 8">
          <a:extLst>
            <a:ext uri="{FF2B5EF4-FFF2-40B4-BE49-F238E27FC236}">
              <a16:creationId xmlns:a16="http://schemas.microsoft.com/office/drawing/2014/main" id="{9F222033-AF50-4CA4-97A3-FDD325C05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3910965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207645</xdr:colOff>
      <xdr:row>129</xdr:row>
      <xdr:rowOff>57150</xdr:rowOff>
    </xdr:from>
    <xdr:ext cx="1219200" cy="650689"/>
    <xdr:pic>
      <xdr:nvPicPr>
        <xdr:cNvPr id="10" name="Imagen 9">
          <a:extLst>
            <a:ext uri="{FF2B5EF4-FFF2-40B4-BE49-F238E27FC236}">
              <a16:creationId xmlns:a16="http://schemas.microsoft.com/office/drawing/2014/main" id="{1B3CB4F0-7860-4F2B-A2B0-140D993953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4625721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207645</xdr:colOff>
      <xdr:row>155</xdr:row>
      <xdr:rowOff>57150</xdr:rowOff>
    </xdr:from>
    <xdr:ext cx="1219200" cy="650689"/>
    <xdr:pic>
      <xdr:nvPicPr>
        <xdr:cNvPr id="11" name="Imagen 10">
          <a:extLst>
            <a:ext uri="{FF2B5EF4-FFF2-40B4-BE49-F238E27FC236}">
              <a16:creationId xmlns:a16="http://schemas.microsoft.com/office/drawing/2014/main" id="{A0CEE43E-0AD3-4A72-9DEE-4339E18EFB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5423535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8300" cy="876300"/>
    <xdr:pic>
      <xdr:nvPicPr>
        <xdr:cNvPr id="12" name="Imagen 11">
          <a:extLst>
            <a:ext uri="{FF2B5EF4-FFF2-40B4-BE49-F238E27FC236}">
              <a16:creationId xmlns:a16="http://schemas.microsoft.com/office/drawing/2014/main" id="{DBEDB081-DC31-40EA-9EE0-433CBAA76402}"/>
            </a:ext>
            <a:ext uri="{147F2762-F138-4A5C-976F-8EAC2B608ADB}">
              <a16:predDERef xmlns:a16="http://schemas.microsoft.com/office/drawing/2014/main" pred="{A0CEE43E-0AD3-4A72-9DEE-4339E18EFB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876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rodriguez\AppData\Local\Microsoft\Windows\INetCache\Content.Outlook\J4DB0VVD\Plan%20de%20Acci&#243;n%20Programa%20II%20UCF-2019.%20Actualizaci&#243;n%2010.09.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rodriguez\AppData\Local\Microsoft\Windows\INetCache\Content.Outlook\PODJYROB\PROGRAMA%20I%20POI%20MAPP%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chaves\AppData\Local\Microsoft\Windows\INetCache\Content.Outlook\YT5API45\PROGRAMA%20I%20POI%20MAPP%202020%20-%202-08-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rodriguez\Desktop\mapp%202019%20Programa%20i\MAPP%202019%20%20ASESORIA%20JURID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rrodriguez_ifam_go_cr/Documents/Pres%20extraordinario%20I%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 de Trabajo"/>
      <sheetName val="2. Detalle de Gastos"/>
      <sheetName val="3. RRHH"/>
      <sheetName val="4. Distrib. RRHH"/>
      <sheetName val="5. Hrs-Supl-Recarg"/>
      <sheetName val="6. PPT x Metas"/>
      <sheetName val="7. MAPP"/>
      <sheetName val="FT"/>
      <sheetName val="Capacitaciones"/>
      <sheetName val="Viáticos"/>
      <sheetName val="Pasantías"/>
      <sheetName val="Desembolsos"/>
      <sheetName val="IF"/>
      <sheetName val="Plan de Acción Programa II U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 IFAM 2020 PROG. I"/>
      <sheetName val="Formulario Necesidades"/>
      <sheetName val="OBJETIVOS ESTRATEGICOS"/>
      <sheetName val="codigos pres"/>
    </sheetNames>
    <sheetDataSet>
      <sheetData sheetId="0" refreshError="1"/>
      <sheetData sheetId="1">
        <row r="295">
          <cell r="F295">
            <v>41600000</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pr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pres"/>
      <sheetName val="OBJETIVOS ESTRATEGICOS"/>
      <sheetName val="MAPP IFAM 2019 PROG.1"/>
      <sheetName val="PLAN DE TRABAJO 2019 "/>
      <sheetName val="Formulario Necesidades"/>
    </sheetNames>
    <sheetDataSet>
      <sheetData sheetId="0" refreshError="1"/>
      <sheetData sheetId="1" refreshError="1"/>
      <sheetData sheetId="2">
        <row r="18">
          <cell r="T18">
            <v>52500248.678999998</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4">
          <cell r="E4">
            <v>1058160820.0000001</v>
          </cell>
        </row>
        <row r="5">
          <cell r="E5">
            <v>7014599220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ifamcr.sharepoint.com/sites/POI2020HMDDGFM/Documentos%20compartidos/Forms/AllItems.aspx?newTargetListUrl=%2Fsites%2FPOI2020HMDDGFM%2FDocumentos%20compartidos&amp;viewpath=%2Fsites%2FPOI2020HMDDGFM%2FDocumentos%20compartidos%2FForms%2FAllItems%2Easpx&amp;viewid=fd862453%2Dfaa3%2D4849%2Db663%2Dd5c7520233b1"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8A5CB-6CDF-448A-AFA9-87868C09B744}">
  <dimension ref="A1:AP464"/>
  <sheetViews>
    <sheetView topLeftCell="K51" zoomScaleNormal="100" zoomScaleSheetLayoutView="75" workbookViewId="0">
      <selection activeCell="M34" sqref="M34"/>
    </sheetView>
  </sheetViews>
  <sheetFormatPr baseColWidth="10" defaultColWidth="11.42578125" defaultRowHeight="15" x14ac:dyDescent="0.25"/>
  <cols>
    <col min="1" max="1" width="22.7109375" style="1" hidden="1" customWidth="1"/>
    <col min="2" max="2" width="20.42578125" style="1" hidden="1" customWidth="1"/>
    <col min="3" max="3" width="22.85546875" style="1" hidden="1" customWidth="1"/>
    <col min="4" max="4" width="18.85546875" style="1" hidden="1" customWidth="1"/>
    <col min="5" max="5" width="16.85546875" style="1" hidden="1" customWidth="1"/>
    <col min="6" max="6" width="15.85546875" style="1" hidden="1" customWidth="1"/>
    <col min="7" max="7" width="17.28515625" style="1" hidden="1" customWidth="1"/>
    <col min="8" max="8" width="15.28515625" style="1" hidden="1" customWidth="1"/>
    <col min="9" max="9" width="13.85546875" style="1" hidden="1" customWidth="1"/>
    <col min="10" max="10" width="17.140625" style="13" hidden="1" customWidth="1"/>
    <col min="11" max="11" width="20.42578125" style="1" customWidth="1"/>
    <col min="12" max="12" width="20.85546875" style="1" customWidth="1"/>
    <col min="13" max="13" width="22.28515625" style="1" customWidth="1"/>
    <col min="14" max="14" width="38.85546875" style="1" customWidth="1"/>
    <col min="15" max="15" width="11.7109375" style="14" customWidth="1"/>
    <col min="16" max="16" width="16.7109375" style="14" customWidth="1"/>
    <col min="17" max="17" width="13.42578125" style="10" customWidth="1"/>
    <col min="18" max="18" width="12.5703125" style="10" customWidth="1"/>
    <col min="19" max="19" width="27.7109375" style="10" customWidth="1"/>
    <col min="20" max="20" width="9.42578125" style="10" customWidth="1"/>
    <col min="21" max="21" width="11.42578125" style="10" customWidth="1"/>
    <col min="22" max="23" width="12.7109375" style="10" customWidth="1"/>
    <col min="24" max="24" width="11.140625" style="10" hidden="1" customWidth="1"/>
    <col min="25" max="25" width="12.5703125" style="10" hidden="1" customWidth="1"/>
    <col min="26" max="26" width="0.140625" style="10" customWidth="1"/>
    <col min="27" max="27" width="31" style="58" customWidth="1"/>
    <col min="28" max="28" width="24.42578125" style="96" customWidth="1"/>
    <col min="29" max="29" width="25.5703125" style="10" customWidth="1"/>
    <col min="30" max="30" width="18.28515625" style="10" customWidth="1"/>
    <col min="31" max="31" width="22.7109375" style="10" customWidth="1"/>
    <col min="32" max="32" width="13.85546875" style="10" customWidth="1"/>
    <col min="33" max="33" width="14" style="323" customWidth="1"/>
    <col min="34" max="34" width="14" style="10" customWidth="1"/>
    <col min="35" max="35" width="27" style="1" customWidth="1"/>
    <col min="36" max="36" width="26.7109375" style="1" customWidth="1"/>
    <col min="37" max="37" width="28.5703125" style="1" customWidth="1"/>
    <col min="38" max="38" width="22.42578125" style="1" hidden="1" customWidth="1"/>
    <col min="39" max="39" width="1.140625" style="1" hidden="1" customWidth="1"/>
    <col min="40" max="40" width="87" style="281" customWidth="1"/>
    <col min="41" max="41" width="31.28515625" style="14" hidden="1" customWidth="1"/>
    <col min="42" max="42" width="25.140625" style="665" customWidth="1"/>
    <col min="43" max="16384" width="11.42578125" style="1"/>
  </cols>
  <sheetData>
    <row r="1" spans="1:42" s="9" customFormat="1" ht="69" customHeight="1" x14ac:dyDescent="0.35">
      <c r="A1" s="518" t="s">
        <v>0</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7"/>
      <c r="AB1" s="176"/>
      <c r="AC1" s="308"/>
      <c r="AD1" s="308"/>
      <c r="AE1" s="308"/>
      <c r="AF1" s="308"/>
      <c r="AG1" s="319"/>
      <c r="AH1" s="308"/>
      <c r="AN1" s="182"/>
      <c r="AO1" s="308"/>
      <c r="AP1" s="661"/>
    </row>
    <row r="2" spans="1:42" s="2" customFormat="1" ht="34.5" customHeight="1" thickBot="1" x14ac:dyDescent="0.4">
      <c r="A2" s="519" t="s">
        <v>1</v>
      </c>
      <c r="B2" s="519"/>
      <c r="C2" s="519"/>
      <c r="D2" s="519"/>
      <c r="E2" s="519"/>
      <c r="F2" s="519"/>
      <c r="G2" s="519"/>
      <c r="H2" s="519"/>
      <c r="I2" s="519"/>
      <c r="J2" s="519"/>
      <c r="K2" s="519"/>
      <c r="L2" s="519"/>
      <c r="M2" s="519"/>
      <c r="N2" s="519"/>
      <c r="O2" s="519"/>
      <c r="P2" s="519"/>
      <c r="Q2" s="519"/>
      <c r="R2" s="519"/>
      <c r="S2" s="519"/>
      <c r="T2" s="519"/>
      <c r="U2" s="519"/>
      <c r="V2" s="519"/>
      <c r="W2" s="519"/>
      <c r="X2" s="519"/>
      <c r="Y2" s="519"/>
      <c r="Z2" s="309"/>
      <c r="AA2" s="84"/>
      <c r="AB2" s="177"/>
      <c r="AC2" s="84"/>
      <c r="AD2" s="84"/>
      <c r="AE2" s="84"/>
      <c r="AF2" s="84"/>
      <c r="AG2" s="320"/>
      <c r="AH2" s="84"/>
      <c r="AI2" s="85"/>
      <c r="AJ2" s="85"/>
      <c r="AK2" s="85"/>
      <c r="AL2" s="85"/>
      <c r="AM2" s="85"/>
      <c r="AN2" s="298"/>
      <c r="AO2" s="155"/>
      <c r="AP2" s="662"/>
    </row>
    <row r="3" spans="1:42" s="3" customFormat="1" ht="24.75" customHeight="1" x14ac:dyDescent="0.2">
      <c r="A3" s="520" t="s">
        <v>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2"/>
      <c r="AO3" s="156"/>
      <c r="AP3" s="663"/>
    </row>
    <row r="4" spans="1:42" s="4" customFormat="1" ht="24.95" customHeight="1" thickBot="1" x14ac:dyDescent="0.3">
      <c r="A4" s="520" t="s">
        <v>3</v>
      </c>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2"/>
      <c r="AO4" s="157"/>
      <c r="AP4" s="664"/>
    </row>
    <row r="5" spans="1:42" s="3" customFormat="1" ht="24.95" customHeight="1" thickBot="1" x14ac:dyDescent="0.25">
      <c r="A5" s="523" t="s">
        <v>4</v>
      </c>
      <c r="B5" s="524"/>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4"/>
      <c r="AJ5" s="524"/>
      <c r="AK5" s="524"/>
      <c r="AL5" s="524"/>
      <c r="AM5" s="524"/>
      <c r="AN5" s="525"/>
      <c r="AO5" s="156"/>
      <c r="AP5" s="663"/>
    </row>
    <row r="6" spans="1:42" s="3" customFormat="1" ht="24.95" customHeight="1" thickBot="1" x14ac:dyDescent="0.25">
      <c r="A6" s="516" t="s">
        <v>5</v>
      </c>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156"/>
      <c r="AP6" s="663"/>
    </row>
    <row r="7" spans="1:42" s="3" customFormat="1" ht="40.700000000000003" customHeight="1" x14ac:dyDescent="0.25">
      <c r="A7" s="531" t="s">
        <v>6</v>
      </c>
      <c r="B7" s="532"/>
      <c r="C7" s="532"/>
      <c r="D7" s="532"/>
      <c r="E7" s="532"/>
      <c r="F7" s="532"/>
      <c r="G7" s="532"/>
      <c r="H7" s="532"/>
      <c r="I7" s="532"/>
      <c r="J7" s="532"/>
      <c r="K7" s="532"/>
      <c r="L7" s="532"/>
      <c r="M7" s="532"/>
      <c r="N7" s="532"/>
      <c r="O7" s="532"/>
      <c r="P7" s="532"/>
      <c r="Q7" s="532"/>
      <c r="R7" s="532"/>
      <c r="S7" s="532"/>
      <c r="T7" s="532"/>
      <c r="U7" s="532"/>
      <c r="V7" s="532"/>
      <c r="W7" s="532"/>
      <c r="X7" s="532"/>
      <c r="Y7" s="533"/>
      <c r="Z7" s="86"/>
      <c r="AA7" s="87"/>
      <c r="AB7" s="178"/>
      <c r="AC7" s="87"/>
      <c r="AD7" s="87"/>
      <c r="AE7" s="87"/>
      <c r="AF7" s="87"/>
      <c r="AG7" s="321"/>
      <c r="AH7" s="87"/>
      <c r="AI7" s="88"/>
      <c r="AJ7" s="88"/>
      <c r="AK7" s="88"/>
      <c r="AL7" s="88"/>
      <c r="AM7" s="88"/>
      <c r="AN7" s="299"/>
      <c r="AO7" s="156"/>
      <c r="AP7" s="663"/>
    </row>
    <row r="8" spans="1:42" x14ac:dyDescent="0.25">
      <c r="A8" s="13"/>
      <c r="B8" s="13"/>
      <c r="C8" s="13"/>
      <c r="D8" s="13"/>
      <c r="E8" s="13"/>
      <c r="F8" s="13"/>
      <c r="G8" s="13"/>
      <c r="H8" s="13"/>
      <c r="I8" s="13"/>
      <c r="K8" s="13"/>
      <c r="L8" s="13"/>
      <c r="M8" s="13"/>
      <c r="N8" s="13"/>
      <c r="Q8" s="14"/>
      <c r="R8" s="14"/>
      <c r="S8" s="14"/>
      <c r="T8" s="14"/>
      <c r="U8" s="14"/>
      <c r="V8" s="14"/>
      <c r="W8" s="14"/>
      <c r="X8" s="14"/>
      <c r="Y8" s="14"/>
      <c r="Z8" s="14"/>
      <c r="AC8" s="14"/>
      <c r="AD8" s="14"/>
      <c r="AE8" s="14"/>
      <c r="AF8" s="14"/>
      <c r="AG8" s="322"/>
      <c r="AH8" s="14"/>
      <c r="AI8" s="13"/>
      <c r="AJ8" s="13"/>
      <c r="AK8" s="13"/>
      <c r="AL8" s="13"/>
      <c r="AM8" s="13"/>
      <c r="AN8" s="13"/>
    </row>
    <row r="9" spans="1:42" ht="2.25" customHeight="1" thickBot="1" x14ac:dyDescent="0.3">
      <c r="A9" s="13"/>
      <c r="B9" s="13"/>
      <c r="C9" s="13"/>
      <c r="D9" s="13"/>
      <c r="E9" s="13"/>
      <c r="F9" s="13"/>
      <c r="G9" s="13"/>
      <c r="H9" s="13"/>
      <c r="I9" s="13"/>
      <c r="K9" s="13"/>
      <c r="L9" s="13"/>
      <c r="M9" s="13"/>
      <c r="N9" s="13"/>
      <c r="Q9" s="14"/>
      <c r="R9" s="14"/>
      <c r="S9" s="14"/>
      <c r="T9" s="14"/>
      <c r="U9" s="14"/>
      <c r="V9" s="14"/>
      <c r="W9" s="14"/>
      <c r="X9" s="14"/>
      <c r="Y9" s="14"/>
      <c r="Z9" s="14"/>
      <c r="AC9" s="14"/>
      <c r="AD9" s="14"/>
      <c r="AE9" s="14"/>
      <c r="AF9" s="14"/>
      <c r="AH9" s="14"/>
      <c r="AI9" s="13"/>
      <c r="AJ9" s="13"/>
      <c r="AK9" s="13"/>
      <c r="AL9" s="13"/>
      <c r="AM9" s="13"/>
    </row>
    <row r="10" spans="1:42" s="3" customFormat="1" ht="6" customHeight="1" thickTop="1" x14ac:dyDescent="0.2">
      <c r="A10" s="534" t="s">
        <v>7</v>
      </c>
      <c r="B10" s="534"/>
      <c r="C10" s="534"/>
      <c r="D10" s="534"/>
      <c r="E10" s="534"/>
      <c r="F10" s="534"/>
      <c r="G10" s="534"/>
      <c r="H10" s="534"/>
      <c r="I10" s="534"/>
      <c r="J10" s="534"/>
      <c r="K10" s="534"/>
      <c r="L10" s="536" t="s">
        <v>8</v>
      </c>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156"/>
      <c r="AP10" s="663"/>
    </row>
    <row r="11" spans="1:42" ht="71.25" customHeight="1" thickBot="1" x14ac:dyDescent="0.3">
      <c r="A11" s="535"/>
      <c r="B11" s="535"/>
      <c r="C11" s="535"/>
      <c r="D11" s="535"/>
      <c r="E11" s="535"/>
      <c r="F11" s="535"/>
      <c r="G11" s="535"/>
      <c r="H11" s="535"/>
      <c r="I11" s="535"/>
      <c r="J11" s="535"/>
      <c r="K11" s="535"/>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row>
    <row r="12" spans="1:42" s="83" customFormat="1" ht="31.7" customHeight="1" x14ac:dyDescent="0.2">
      <c r="A12" s="494" t="s">
        <v>9</v>
      </c>
      <c r="B12" s="499" t="s">
        <v>10</v>
      </c>
      <c r="C12" s="494" t="s">
        <v>11</v>
      </c>
      <c r="D12" s="494" t="s">
        <v>12</v>
      </c>
      <c r="E12" s="494" t="s">
        <v>13</v>
      </c>
      <c r="F12" s="494" t="s">
        <v>14</v>
      </c>
      <c r="G12" s="494" t="s">
        <v>15</v>
      </c>
      <c r="H12" s="494" t="s">
        <v>16</v>
      </c>
      <c r="I12" s="494" t="s">
        <v>17</v>
      </c>
      <c r="J12" s="526" t="s">
        <v>18</v>
      </c>
      <c r="K12" s="494" t="s">
        <v>19</v>
      </c>
      <c r="L12" s="494" t="s">
        <v>20</v>
      </c>
      <c r="M12" s="494" t="s">
        <v>21</v>
      </c>
      <c r="N12" s="512" t="s">
        <v>22</v>
      </c>
      <c r="O12" s="513"/>
      <c r="P12" s="512" t="s">
        <v>23</v>
      </c>
      <c r="Q12" s="513"/>
      <c r="R12" s="513"/>
      <c r="S12" s="494" t="s">
        <v>24</v>
      </c>
      <c r="T12" s="494" t="s">
        <v>25</v>
      </c>
      <c r="U12" s="498" t="s">
        <v>26</v>
      </c>
      <c r="V12" s="506"/>
      <c r="W12" s="506"/>
      <c r="X12" s="506"/>
      <c r="Y12" s="506"/>
      <c r="Z12" s="499"/>
      <c r="AA12" s="498" t="s">
        <v>27</v>
      </c>
      <c r="AB12" s="506"/>
      <c r="AC12" s="506"/>
      <c r="AD12" s="506"/>
      <c r="AE12" s="506"/>
      <c r="AF12" s="498" t="s">
        <v>28</v>
      </c>
      <c r="AG12" s="506"/>
      <c r="AH12" s="499"/>
      <c r="AI12" s="498" t="s">
        <v>29</v>
      </c>
      <c r="AJ12" s="499"/>
      <c r="AK12" s="494" t="s">
        <v>30</v>
      </c>
      <c r="AL12" s="498" t="s">
        <v>27</v>
      </c>
      <c r="AM12" s="499"/>
      <c r="AN12" s="514" t="s">
        <v>31</v>
      </c>
      <c r="AO12" s="158"/>
      <c r="AP12" s="666"/>
    </row>
    <row r="13" spans="1:42" s="83" customFormat="1" ht="35.450000000000003" customHeight="1" x14ac:dyDescent="0.2">
      <c r="A13" s="495"/>
      <c r="B13" s="501"/>
      <c r="C13" s="495"/>
      <c r="D13" s="495"/>
      <c r="E13" s="495"/>
      <c r="F13" s="495"/>
      <c r="G13" s="495"/>
      <c r="H13" s="495"/>
      <c r="I13" s="495"/>
      <c r="J13" s="527"/>
      <c r="K13" s="495"/>
      <c r="L13" s="495"/>
      <c r="M13" s="495"/>
      <c r="N13" s="495" t="s">
        <v>32</v>
      </c>
      <c r="O13" s="529" t="s">
        <v>33</v>
      </c>
      <c r="P13" s="494" t="s">
        <v>34</v>
      </c>
      <c r="Q13" s="510" t="s">
        <v>33</v>
      </c>
      <c r="R13" s="511"/>
      <c r="S13" s="495"/>
      <c r="T13" s="495"/>
      <c r="U13" s="500"/>
      <c r="V13" s="507"/>
      <c r="W13" s="507"/>
      <c r="X13" s="507"/>
      <c r="Y13" s="507"/>
      <c r="Z13" s="501"/>
      <c r="AA13" s="502"/>
      <c r="AB13" s="530"/>
      <c r="AC13" s="530"/>
      <c r="AD13" s="530"/>
      <c r="AE13" s="530"/>
      <c r="AF13" s="500"/>
      <c r="AG13" s="507"/>
      <c r="AH13" s="501"/>
      <c r="AI13" s="500"/>
      <c r="AJ13" s="501"/>
      <c r="AK13" s="495"/>
      <c r="AL13" s="502"/>
      <c r="AM13" s="503"/>
      <c r="AN13" s="515"/>
      <c r="AO13" s="158"/>
      <c r="AP13" s="666"/>
    </row>
    <row r="14" spans="1:42" s="83" customFormat="1" ht="16.149999999999999" customHeight="1" x14ac:dyDescent="0.2">
      <c r="A14" s="495"/>
      <c r="B14" s="501"/>
      <c r="C14" s="495"/>
      <c r="D14" s="495"/>
      <c r="E14" s="495"/>
      <c r="F14" s="495"/>
      <c r="G14" s="495"/>
      <c r="H14" s="495"/>
      <c r="I14" s="495"/>
      <c r="J14" s="527"/>
      <c r="K14" s="495"/>
      <c r="L14" s="495"/>
      <c r="M14" s="495"/>
      <c r="N14" s="495"/>
      <c r="O14" s="529"/>
      <c r="P14" s="495"/>
      <c r="Q14" s="495" t="s">
        <v>35</v>
      </c>
      <c r="R14" s="500" t="s">
        <v>36</v>
      </c>
      <c r="S14" s="495"/>
      <c r="T14" s="495"/>
      <c r="U14" s="502"/>
      <c r="V14" s="530"/>
      <c r="W14" s="530"/>
      <c r="X14" s="530"/>
      <c r="Y14" s="530"/>
      <c r="Z14" s="503"/>
      <c r="AA14" s="494" t="s">
        <v>37</v>
      </c>
      <c r="AB14" s="504" t="s">
        <v>38</v>
      </c>
      <c r="AC14" s="494" t="s">
        <v>39</v>
      </c>
      <c r="AD14" s="494" t="s">
        <v>40</v>
      </c>
      <c r="AE14" s="494" t="s">
        <v>41</v>
      </c>
      <c r="AF14" s="494" t="s">
        <v>42</v>
      </c>
      <c r="AG14" s="508" t="s">
        <v>43</v>
      </c>
      <c r="AH14" s="494" t="s">
        <v>592</v>
      </c>
      <c r="AI14" s="494" t="s">
        <v>44</v>
      </c>
      <c r="AJ14" s="494" t="s">
        <v>45</v>
      </c>
      <c r="AK14" s="495"/>
      <c r="AL14" s="494" t="s">
        <v>37</v>
      </c>
      <c r="AM14" s="495" t="s">
        <v>41</v>
      </c>
      <c r="AN14" s="515"/>
      <c r="AO14" s="158"/>
      <c r="AP14" s="666"/>
    </row>
    <row r="15" spans="1:42" s="83" customFormat="1" ht="30.75" customHeight="1" x14ac:dyDescent="0.2">
      <c r="A15" s="495"/>
      <c r="B15" s="501"/>
      <c r="C15" s="495"/>
      <c r="D15" s="495"/>
      <c r="E15" s="495"/>
      <c r="F15" s="495"/>
      <c r="G15" s="495"/>
      <c r="H15" s="495"/>
      <c r="I15" s="495"/>
      <c r="J15" s="527"/>
      <c r="K15" s="495"/>
      <c r="L15" s="495"/>
      <c r="M15" s="495"/>
      <c r="N15" s="495"/>
      <c r="O15" s="529"/>
      <c r="P15" s="495"/>
      <c r="Q15" s="495"/>
      <c r="R15" s="500"/>
      <c r="S15" s="495"/>
      <c r="T15" s="495"/>
      <c r="U15" s="304" t="s">
        <v>46</v>
      </c>
      <c r="V15" s="304" t="s">
        <v>47</v>
      </c>
      <c r="W15" s="304" t="s">
        <v>48</v>
      </c>
      <c r="X15" s="498" t="s">
        <v>49</v>
      </c>
      <c r="Y15" s="506"/>
      <c r="Z15" s="499"/>
      <c r="AA15" s="495"/>
      <c r="AB15" s="505"/>
      <c r="AC15" s="495"/>
      <c r="AD15" s="495"/>
      <c r="AE15" s="495"/>
      <c r="AF15" s="495"/>
      <c r="AG15" s="509"/>
      <c r="AH15" s="495"/>
      <c r="AI15" s="495"/>
      <c r="AJ15" s="495"/>
      <c r="AK15" s="495"/>
      <c r="AL15" s="496"/>
      <c r="AM15" s="497" t="s">
        <v>50</v>
      </c>
      <c r="AN15" s="515"/>
      <c r="AO15" s="159">
        <f>50272272.8-AI32</f>
        <v>11260658.959999993</v>
      </c>
      <c r="AP15" s="666"/>
    </row>
    <row r="16" spans="1:42" s="13" customFormat="1" ht="45.75" customHeight="1" x14ac:dyDescent="0.25">
      <c r="A16" s="65"/>
      <c r="B16" s="66"/>
      <c r="C16" s="67"/>
      <c r="D16" s="67"/>
      <c r="E16" s="67"/>
      <c r="F16" s="67"/>
      <c r="G16" s="67"/>
      <c r="H16" s="67"/>
      <c r="I16" s="67"/>
      <c r="J16" s="528"/>
      <c r="K16" s="67"/>
      <c r="L16" s="67"/>
      <c r="M16" s="67"/>
      <c r="N16" s="67"/>
      <c r="O16" s="68"/>
      <c r="P16" s="67"/>
      <c r="Q16" s="67"/>
      <c r="R16" s="67"/>
      <c r="S16" s="67"/>
      <c r="T16" s="67"/>
      <c r="U16" s="69"/>
      <c r="V16" s="69"/>
      <c r="W16" s="69"/>
      <c r="X16" s="69"/>
      <c r="Y16" s="70"/>
      <c r="Z16" s="70"/>
      <c r="AA16" s="67"/>
      <c r="AB16" s="179"/>
      <c r="AC16" s="67"/>
      <c r="AD16" s="67"/>
      <c r="AE16" s="67"/>
      <c r="AF16" s="67"/>
      <c r="AG16" s="324"/>
      <c r="AH16" s="67"/>
      <c r="AI16" s="67"/>
      <c r="AJ16" s="67"/>
      <c r="AK16" s="67"/>
      <c r="AL16" s="71"/>
      <c r="AM16" s="72"/>
      <c r="AN16" s="300"/>
      <c r="AO16" s="14"/>
      <c r="AP16" s="665"/>
    </row>
    <row r="17" spans="1:42" s="13" customFormat="1" ht="17.100000000000001" customHeight="1" thickTop="1" thickBot="1" x14ac:dyDescent="0.3">
      <c r="A17" s="540"/>
      <c r="B17" s="540"/>
      <c r="C17" s="540"/>
      <c r="D17" s="540"/>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0"/>
      <c r="AI17" s="540"/>
      <c r="AJ17" s="540"/>
      <c r="AK17" s="540"/>
      <c r="AL17" s="540"/>
      <c r="AM17" s="540"/>
      <c r="AN17" s="540"/>
      <c r="AO17" s="14"/>
      <c r="AP17" s="665"/>
    </row>
    <row r="18" spans="1:42" s="13" customFormat="1" ht="22.15" customHeight="1" x14ac:dyDescent="0.25">
      <c r="A18" s="538" t="s">
        <v>51</v>
      </c>
      <c r="B18" s="539"/>
      <c r="C18" s="539"/>
      <c r="D18" s="539"/>
      <c r="E18" s="539"/>
      <c r="F18" s="539"/>
      <c r="G18" s="539"/>
      <c r="H18" s="539"/>
      <c r="I18" s="539"/>
      <c r="J18" s="539"/>
      <c r="K18" s="539"/>
      <c r="L18" s="539"/>
      <c r="M18" s="539"/>
      <c r="N18" s="539"/>
      <c r="O18" s="539"/>
      <c r="P18" s="539"/>
      <c r="Q18" s="539"/>
      <c r="R18" s="539"/>
      <c r="S18" s="539"/>
      <c r="T18" s="539"/>
      <c r="U18" s="539"/>
      <c r="V18" s="539"/>
      <c r="W18" s="550"/>
      <c r="X18" s="38"/>
      <c r="Y18" s="38"/>
      <c r="Z18" s="38"/>
      <c r="AA18" s="98">
        <f>+AA19</f>
        <v>59811254.450000003</v>
      </c>
      <c r="AB18" s="98">
        <f>+AB19</f>
        <v>3000000</v>
      </c>
      <c r="AC18" s="110">
        <f t="shared" ref="AC18:AC23" si="0">+AA18+AB18</f>
        <v>62811254.450000003</v>
      </c>
      <c r="AD18" s="38"/>
      <c r="AE18" s="38"/>
      <c r="AF18" s="38"/>
      <c r="AG18" s="325"/>
      <c r="AH18" s="38"/>
      <c r="AI18" s="108">
        <f>+AI19</f>
        <v>25386995.009999998</v>
      </c>
      <c r="AJ18" s="108">
        <f t="shared" ref="AJ18:AK18" si="1">+AJ19</f>
        <v>10435763.630000001</v>
      </c>
      <c r="AK18" s="128">
        <f t="shared" si="1"/>
        <v>35822758.640000001</v>
      </c>
      <c r="AL18" s="129"/>
      <c r="AM18" s="38"/>
      <c r="AN18" s="302"/>
      <c r="AO18" s="14"/>
      <c r="AP18" s="665"/>
    </row>
    <row r="19" spans="1:42" s="22" customFormat="1" ht="126.75" customHeight="1" thickTop="1" thickBot="1" x14ac:dyDescent="0.3">
      <c r="A19" s="185" t="s">
        <v>52</v>
      </c>
      <c r="B19" s="185" t="s">
        <v>53</v>
      </c>
      <c r="C19" s="185" t="s">
        <v>54</v>
      </c>
      <c r="D19" s="185" t="s">
        <v>55</v>
      </c>
      <c r="E19" s="185" t="s">
        <v>56</v>
      </c>
      <c r="F19" s="185" t="s">
        <v>57</v>
      </c>
      <c r="G19" s="185" t="s">
        <v>58</v>
      </c>
      <c r="H19" s="185" t="s">
        <v>59</v>
      </c>
      <c r="I19" s="185" t="s">
        <v>60</v>
      </c>
      <c r="J19" s="185" t="s">
        <v>61</v>
      </c>
      <c r="K19" s="185" t="s">
        <v>62</v>
      </c>
      <c r="L19" s="185" t="s">
        <v>63</v>
      </c>
      <c r="M19" s="185" t="s">
        <v>64</v>
      </c>
      <c r="N19" s="185" t="s">
        <v>65</v>
      </c>
      <c r="O19" s="185">
        <v>1</v>
      </c>
      <c r="P19" s="185" t="s">
        <v>66</v>
      </c>
      <c r="Q19" s="185" t="s">
        <v>67</v>
      </c>
      <c r="R19" s="185" t="s">
        <v>67</v>
      </c>
      <c r="S19" s="185" t="s">
        <v>68</v>
      </c>
      <c r="T19" s="185">
        <v>100</v>
      </c>
      <c r="U19" s="493">
        <f>+W19+V19</f>
        <v>1</v>
      </c>
      <c r="V19" s="493">
        <v>0.5</v>
      </c>
      <c r="W19" s="493">
        <v>0.5</v>
      </c>
      <c r="X19" s="185"/>
      <c r="Y19" s="185"/>
      <c r="Z19" s="196">
        <v>0</v>
      </c>
      <c r="AA19" s="199">
        <v>59811254.450000003</v>
      </c>
      <c r="AB19" s="199">
        <f>2450000+550000</f>
        <v>3000000</v>
      </c>
      <c r="AC19" s="199">
        <f t="shared" si="0"/>
        <v>62811254.450000003</v>
      </c>
      <c r="AD19" s="29" t="s">
        <v>69</v>
      </c>
      <c r="AE19" s="196" t="s">
        <v>70</v>
      </c>
      <c r="AF19" s="230">
        <v>0.5</v>
      </c>
      <c r="AG19" s="318">
        <v>0.25</v>
      </c>
      <c r="AH19" s="231">
        <f>+AF19+AG19</f>
        <v>0.75</v>
      </c>
      <c r="AI19" s="229">
        <f>21434280.38+3952714.63</f>
        <v>25386995.009999998</v>
      </c>
      <c r="AJ19" s="229">
        <f>+AO19-AI19+2087150.42</f>
        <v>10435763.630000001</v>
      </c>
      <c r="AK19" s="200">
        <f>SUM(AI19:AJ19)</f>
        <v>35822758.640000001</v>
      </c>
      <c r="AL19" s="207">
        <v>41600000</v>
      </c>
      <c r="AM19" s="194" t="s">
        <v>71</v>
      </c>
      <c r="AN19" s="282" t="s">
        <v>607</v>
      </c>
      <c r="AO19" s="232">
        <v>33735608.219999999</v>
      </c>
      <c r="AP19" s="665"/>
    </row>
    <row r="20" spans="1:42" ht="28.5" customHeight="1" x14ac:dyDescent="0.25">
      <c r="A20" s="538" t="s">
        <v>72</v>
      </c>
      <c r="B20" s="539"/>
      <c r="C20" s="539"/>
      <c r="D20" s="539"/>
      <c r="E20" s="538"/>
      <c r="F20" s="539"/>
      <c r="G20" s="539"/>
      <c r="H20" s="539"/>
      <c r="I20" s="538"/>
      <c r="J20" s="539"/>
      <c r="K20" s="539"/>
      <c r="L20" s="539"/>
      <c r="M20" s="538"/>
      <c r="N20" s="539"/>
      <c r="O20" s="539"/>
      <c r="P20" s="539"/>
      <c r="Q20" s="538"/>
      <c r="R20" s="539"/>
      <c r="S20" s="539"/>
      <c r="T20" s="539"/>
      <c r="U20" s="538"/>
      <c r="V20" s="539"/>
      <c r="W20" s="539"/>
      <c r="X20" s="539"/>
      <c r="Y20" s="171"/>
      <c r="Z20" s="172"/>
      <c r="AA20" s="172">
        <f>SUM(AA21)</f>
        <v>124152806.73</v>
      </c>
      <c r="AB20" s="59">
        <f>SUM(AB21)</f>
        <v>16506044.210000001</v>
      </c>
      <c r="AC20" s="109">
        <f t="shared" si="0"/>
        <v>140658850.94</v>
      </c>
      <c r="AD20" s="306"/>
      <c r="AE20" s="306"/>
      <c r="AF20" s="306"/>
      <c r="AG20" s="326"/>
      <c r="AH20" s="306"/>
      <c r="AI20" s="107">
        <f>SUM(AI21)</f>
        <v>40571029.5</v>
      </c>
      <c r="AJ20" s="107">
        <f t="shared" ref="AJ20:AK20" si="2">SUM(AJ21)</f>
        <v>13870549.439999998</v>
      </c>
      <c r="AK20" s="132">
        <f t="shared" si="2"/>
        <v>54441578.939999998</v>
      </c>
      <c r="AL20" s="133"/>
      <c r="AM20" s="306"/>
      <c r="AN20" s="301"/>
    </row>
    <row r="21" spans="1:42" s="22" customFormat="1" ht="243" customHeight="1" thickTop="1" thickBot="1" x14ac:dyDescent="0.3">
      <c r="A21" s="185" t="s">
        <v>52</v>
      </c>
      <c r="B21" s="185" t="s">
        <v>53</v>
      </c>
      <c r="C21" s="185" t="s">
        <v>54</v>
      </c>
      <c r="D21" s="185" t="s">
        <v>55</v>
      </c>
      <c r="E21" s="185" t="s">
        <v>56</v>
      </c>
      <c r="F21" s="185" t="s">
        <v>57</v>
      </c>
      <c r="G21" s="185" t="s">
        <v>58</v>
      </c>
      <c r="H21" s="185" t="s">
        <v>59</v>
      </c>
      <c r="I21" s="185" t="s">
        <v>60</v>
      </c>
      <c r="J21" s="185" t="s">
        <v>61</v>
      </c>
      <c r="K21" s="185" t="s">
        <v>73</v>
      </c>
      <c r="L21" s="185" t="s">
        <v>74</v>
      </c>
      <c r="M21" s="185" t="s">
        <v>75</v>
      </c>
      <c r="N21" s="185" t="s">
        <v>76</v>
      </c>
      <c r="O21" s="185">
        <v>1</v>
      </c>
      <c r="P21" s="185" t="s">
        <v>0</v>
      </c>
      <c r="Q21" s="185">
        <v>50</v>
      </c>
      <c r="R21" s="185">
        <v>50</v>
      </c>
      <c r="S21" s="185" t="s">
        <v>77</v>
      </c>
      <c r="T21" s="185">
        <v>0</v>
      </c>
      <c r="U21" s="185">
        <v>32</v>
      </c>
      <c r="V21" s="185">
        <v>14</v>
      </c>
      <c r="W21" s="185">
        <v>18</v>
      </c>
      <c r="X21" s="185">
        <v>100</v>
      </c>
      <c r="Y21" s="185"/>
      <c r="Z21" s="194">
        <v>0</v>
      </c>
      <c r="AA21" s="29">
        <v>124152806.73</v>
      </c>
      <c r="AB21" s="29">
        <f>18206044.21-1700000</f>
        <v>16506044.210000001</v>
      </c>
      <c r="AC21" s="29">
        <f t="shared" si="0"/>
        <v>140658850.94</v>
      </c>
      <c r="AD21" s="29" t="s">
        <v>608</v>
      </c>
      <c r="AE21" s="196" t="s">
        <v>70</v>
      </c>
      <c r="AF21" s="138">
        <v>0.5</v>
      </c>
      <c r="AG21" s="318">
        <v>0.25</v>
      </c>
      <c r="AH21" s="197">
        <f>+AF21+AG21</f>
        <v>0.75</v>
      </c>
      <c r="AI21" s="229">
        <f>32729380.36+ 7841649.14</f>
        <v>40571029.5</v>
      </c>
      <c r="AJ21" s="229">
        <f>+AO21-AI21+4533402.72</f>
        <v>13870549.439999998</v>
      </c>
      <c r="AK21" s="200">
        <f>+AI21+AJ21</f>
        <v>54441578.939999998</v>
      </c>
      <c r="AL21" s="207">
        <v>1300000</v>
      </c>
      <c r="AM21" s="194" t="s">
        <v>70</v>
      </c>
      <c r="AN21" s="282" t="s">
        <v>616</v>
      </c>
      <c r="AO21" s="184">
        <v>49908176.219999999</v>
      </c>
      <c r="AP21" s="665"/>
    </row>
    <row r="22" spans="1:42" s="13" customFormat="1" ht="23.45" customHeight="1" x14ac:dyDescent="0.25">
      <c r="A22" s="538" t="s">
        <v>78</v>
      </c>
      <c r="B22" s="539"/>
      <c r="C22" s="539"/>
      <c r="D22" s="539"/>
      <c r="E22" s="539"/>
      <c r="F22" s="539"/>
      <c r="G22" s="539"/>
      <c r="H22" s="539"/>
      <c r="I22" s="539"/>
      <c r="J22" s="539"/>
      <c r="K22" s="539"/>
      <c r="L22" s="539"/>
      <c r="M22" s="539"/>
      <c r="N22" s="539"/>
      <c r="O22" s="539"/>
      <c r="P22" s="539"/>
      <c r="Q22" s="539"/>
      <c r="R22" s="539"/>
      <c r="S22" s="539"/>
      <c r="T22" s="539"/>
      <c r="U22" s="539"/>
      <c r="V22" s="539"/>
      <c r="W22" s="550"/>
      <c r="X22" s="306"/>
      <c r="Y22" s="306"/>
      <c r="Z22" s="306"/>
      <c r="AA22" s="98">
        <f>SUM(AA23)</f>
        <v>21985347.300000001</v>
      </c>
      <c r="AB22" s="98">
        <f>+AB23</f>
        <v>-12978033.9</v>
      </c>
      <c r="AC22" s="108">
        <f t="shared" si="0"/>
        <v>9007313.4000000004</v>
      </c>
      <c r="AD22" s="306"/>
      <c r="AE22" s="306"/>
      <c r="AF22" s="306"/>
      <c r="AG22" s="326"/>
      <c r="AH22" s="306"/>
      <c r="AI22" s="306"/>
      <c r="AJ22" s="306"/>
      <c r="AK22" s="133"/>
      <c r="AL22" s="133"/>
      <c r="AM22" s="306"/>
      <c r="AN22" s="653"/>
      <c r="AO22" s="14"/>
      <c r="AP22" s="665"/>
    </row>
    <row r="23" spans="1:42" ht="154.5" customHeight="1" x14ac:dyDescent="0.25">
      <c r="A23" s="202" t="s">
        <v>52</v>
      </c>
      <c r="B23" s="442" t="s">
        <v>53</v>
      </c>
      <c r="C23" s="443" t="s">
        <v>54</v>
      </c>
      <c r="D23" s="443" t="s">
        <v>55</v>
      </c>
      <c r="E23" s="443" t="s">
        <v>56</v>
      </c>
      <c r="F23" s="444" t="s">
        <v>57</v>
      </c>
      <c r="G23" s="445" t="s">
        <v>58</v>
      </c>
      <c r="H23" s="196" t="s">
        <v>59</v>
      </c>
      <c r="I23" s="196" t="s">
        <v>60</v>
      </c>
      <c r="J23" s="196" t="s">
        <v>61</v>
      </c>
      <c r="K23" s="443" t="s">
        <v>79</v>
      </c>
      <c r="L23" s="202" t="s">
        <v>80</v>
      </c>
      <c r="M23" s="202" t="s">
        <v>81</v>
      </c>
      <c r="N23" s="202" t="s">
        <v>82</v>
      </c>
      <c r="O23" s="204">
        <v>1</v>
      </c>
      <c r="P23" s="194" t="s">
        <v>83</v>
      </c>
      <c r="Q23" s="194" t="s">
        <v>67</v>
      </c>
      <c r="R23" s="194" t="s">
        <v>67</v>
      </c>
      <c r="S23" s="446" t="s">
        <v>84</v>
      </c>
      <c r="T23" s="194">
        <v>0</v>
      </c>
      <c r="U23" s="446">
        <v>1</v>
      </c>
      <c r="V23" s="194">
        <v>50</v>
      </c>
      <c r="W23" s="194">
        <v>50</v>
      </c>
      <c r="X23" s="194"/>
      <c r="Y23" s="194"/>
      <c r="Z23" s="194">
        <v>0</v>
      </c>
      <c r="AA23" s="29">
        <v>21985347.300000001</v>
      </c>
      <c r="AB23" s="29">
        <v>-12978033.9</v>
      </c>
      <c r="AC23" s="29">
        <f t="shared" si="0"/>
        <v>9007313.4000000004</v>
      </c>
      <c r="AD23" s="29" t="s">
        <v>69</v>
      </c>
      <c r="AE23" s="196" t="s">
        <v>70</v>
      </c>
      <c r="AF23" s="138">
        <v>0</v>
      </c>
      <c r="AG23" s="318"/>
      <c r="AH23" s="197">
        <f>+AF23+AG23</f>
        <v>0</v>
      </c>
      <c r="AI23" s="447">
        <v>0</v>
      </c>
      <c r="AJ23" s="444"/>
      <c r="AK23" s="200">
        <f>+AI23+AJ23</f>
        <v>0</v>
      </c>
      <c r="AL23" s="131">
        <f>+AA23</f>
        <v>21985347.300000001</v>
      </c>
      <c r="AM23" s="25"/>
      <c r="AN23" s="283" t="s">
        <v>85</v>
      </c>
    </row>
    <row r="24" spans="1:42" s="13" customFormat="1" ht="21.2" customHeight="1" x14ac:dyDescent="0.25">
      <c r="A24" s="538" t="s">
        <v>86</v>
      </c>
      <c r="B24" s="539"/>
      <c r="C24" s="539"/>
      <c r="D24" s="539"/>
      <c r="E24" s="539"/>
      <c r="F24" s="539"/>
      <c r="G24" s="539"/>
      <c r="H24" s="539"/>
      <c r="I24" s="539"/>
      <c r="J24" s="539"/>
      <c r="K24" s="539"/>
      <c r="L24" s="539"/>
      <c r="M24" s="539"/>
      <c r="N24" s="539"/>
      <c r="O24" s="539"/>
      <c r="P24" s="539"/>
      <c r="Q24" s="539"/>
      <c r="R24" s="539"/>
      <c r="S24" s="539"/>
      <c r="T24" s="539"/>
      <c r="U24" s="539"/>
      <c r="V24" s="539"/>
      <c r="W24" s="550"/>
      <c r="X24" s="306"/>
      <c r="Y24" s="306"/>
      <c r="Z24" s="306"/>
      <c r="AA24" s="59">
        <f>SUM(AA25:AA27)</f>
        <v>353666002.84000003</v>
      </c>
      <c r="AB24" s="93">
        <f>SUM(AB25:AB27)</f>
        <v>1065611955.49</v>
      </c>
      <c r="AC24" s="94">
        <f>SUM(AC25:AC27)</f>
        <v>1419277958.3299999</v>
      </c>
      <c r="AD24" s="306"/>
      <c r="AE24" s="306"/>
      <c r="AF24" s="306"/>
      <c r="AG24" s="326"/>
      <c r="AH24" s="306"/>
      <c r="AI24" s="146">
        <f>SUM(AI25:AI27)</f>
        <v>99125041.520000011</v>
      </c>
      <c r="AJ24" s="146">
        <f>SUM(AJ25:AJ27)</f>
        <v>1035227865.38</v>
      </c>
      <c r="AK24" s="147">
        <f>+AI24+AJ24</f>
        <v>1134352906.9000001</v>
      </c>
      <c r="AL24" s="133"/>
      <c r="AM24" s="306"/>
      <c r="AN24" s="653"/>
      <c r="AO24" s="14"/>
      <c r="AP24" s="665"/>
    </row>
    <row r="25" spans="1:42" ht="154.5" customHeight="1" x14ac:dyDescent="0.25">
      <c r="A25" s="202" t="s">
        <v>52</v>
      </c>
      <c r="B25" s="442" t="s">
        <v>53</v>
      </c>
      <c r="C25" s="443" t="s">
        <v>54</v>
      </c>
      <c r="D25" s="443" t="s">
        <v>55</v>
      </c>
      <c r="E25" s="443" t="s">
        <v>56</v>
      </c>
      <c r="F25" s="444" t="s">
        <v>57</v>
      </c>
      <c r="G25" s="445" t="s">
        <v>58</v>
      </c>
      <c r="H25" s="196" t="s">
        <v>59</v>
      </c>
      <c r="I25" s="196" t="s">
        <v>60</v>
      </c>
      <c r="J25" s="196" t="s">
        <v>61</v>
      </c>
      <c r="K25" s="443" t="s">
        <v>79</v>
      </c>
      <c r="L25" s="202" t="s">
        <v>87</v>
      </c>
      <c r="M25" s="202" t="s">
        <v>88</v>
      </c>
      <c r="N25" s="202" t="s">
        <v>89</v>
      </c>
      <c r="O25" s="446">
        <v>1</v>
      </c>
      <c r="P25" s="202" t="s">
        <v>90</v>
      </c>
      <c r="Q25" s="194" t="s">
        <v>67</v>
      </c>
      <c r="R25" s="194" t="s">
        <v>67</v>
      </c>
      <c r="S25" s="194" t="s">
        <v>91</v>
      </c>
      <c r="T25" s="194" t="s">
        <v>67</v>
      </c>
      <c r="U25" s="194">
        <v>1</v>
      </c>
      <c r="V25" s="194">
        <v>0</v>
      </c>
      <c r="W25" s="194">
        <v>1</v>
      </c>
      <c r="X25" s="194">
        <v>0</v>
      </c>
      <c r="Y25" s="194">
        <v>0</v>
      </c>
      <c r="Z25" s="194">
        <v>0</v>
      </c>
      <c r="AA25" s="29">
        <f>20000000+30000000</f>
        <v>50000000</v>
      </c>
      <c r="AB25" s="199"/>
      <c r="AC25" s="199">
        <f>+AA25+AB25</f>
        <v>50000000</v>
      </c>
      <c r="AD25" s="196" t="s">
        <v>69</v>
      </c>
      <c r="AE25" s="196" t="s">
        <v>70</v>
      </c>
      <c r="AF25" s="196">
        <v>1</v>
      </c>
      <c r="AG25" s="327"/>
      <c r="AH25" s="196">
        <f>+AF25+AG25</f>
        <v>1</v>
      </c>
      <c r="AI25" s="448">
        <f>13951320.68+28004356+1950206.07</f>
        <v>43905882.75</v>
      </c>
      <c r="AJ25" s="196"/>
      <c r="AK25" s="200">
        <f t="shared" ref="AK25:AK26" si="3">+AI25+AJ25</f>
        <v>43905882.75</v>
      </c>
      <c r="AL25" s="130">
        <v>50000000</v>
      </c>
      <c r="AM25" s="24" t="s">
        <v>70</v>
      </c>
      <c r="AN25" s="284" t="s">
        <v>92</v>
      </c>
      <c r="AO25" s="160">
        <f>123197969.02-AI25</f>
        <v>79292086.269999996</v>
      </c>
    </row>
    <row r="26" spans="1:42" s="28" customFormat="1" ht="127.15" customHeight="1" thickTop="1" thickBot="1" x14ac:dyDescent="0.3">
      <c r="A26" s="202" t="s">
        <v>52</v>
      </c>
      <c r="B26" s="442" t="s">
        <v>53</v>
      </c>
      <c r="C26" s="443" t="s">
        <v>54</v>
      </c>
      <c r="D26" s="443" t="s">
        <v>55</v>
      </c>
      <c r="E26" s="443" t="s">
        <v>56</v>
      </c>
      <c r="F26" s="444" t="s">
        <v>57</v>
      </c>
      <c r="G26" s="445" t="s">
        <v>58</v>
      </c>
      <c r="H26" s="196" t="s">
        <v>59</v>
      </c>
      <c r="I26" s="196" t="s">
        <v>60</v>
      </c>
      <c r="J26" s="196" t="s">
        <v>61</v>
      </c>
      <c r="K26" s="443" t="s">
        <v>56</v>
      </c>
      <c r="L26" s="202" t="s">
        <v>87</v>
      </c>
      <c r="M26" s="202" t="s">
        <v>93</v>
      </c>
      <c r="N26" s="202" t="s">
        <v>94</v>
      </c>
      <c r="O26" s="446">
        <v>1</v>
      </c>
      <c r="P26" s="202" t="s">
        <v>90</v>
      </c>
      <c r="Q26" s="194" t="s">
        <v>67</v>
      </c>
      <c r="R26" s="194" t="s">
        <v>67</v>
      </c>
      <c r="S26" s="194" t="s">
        <v>95</v>
      </c>
      <c r="T26" s="194">
        <v>0</v>
      </c>
      <c r="U26" s="138">
        <v>1</v>
      </c>
      <c r="V26" s="138">
        <v>0.3</v>
      </c>
      <c r="W26" s="138">
        <v>0.7</v>
      </c>
      <c r="X26" s="194">
        <v>0</v>
      </c>
      <c r="Y26" s="194">
        <v>0</v>
      </c>
      <c r="Z26" s="449">
        <v>110000000</v>
      </c>
      <c r="AA26" s="29">
        <v>110000000</v>
      </c>
      <c r="AB26" s="29">
        <v>0</v>
      </c>
      <c r="AC26" s="29">
        <f>+AA26+AB26</f>
        <v>110000000</v>
      </c>
      <c r="AD26" s="196" t="s">
        <v>69</v>
      </c>
      <c r="AE26" s="196" t="s">
        <v>70</v>
      </c>
      <c r="AF26" s="196">
        <v>0.3</v>
      </c>
      <c r="AG26" s="327">
        <v>0</v>
      </c>
      <c r="AH26" s="196">
        <f>+AF26+AG26</f>
        <v>0.3</v>
      </c>
      <c r="AI26" s="196"/>
      <c r="AJ26" s="199">
        <v>5184855.84</v>
      </c>
      <c r="AK26" s="200">
        <f t="shared" si="3"/>
        <v>5184855.84</v>
      </c>
      <c r="AL26" s="130">
        <f>+AJ26+AK26</f>
        <v>10369711.68</v>
      </c>
      <c r="AM26" s="24" t="s">
        <v>70</v>
      </c>
      <c r="AN26" s="285" t="s">
        <v>609</v>
      </c>
      <c r="AO26" s="14"/>
      <c r="AP26" s="667"/>
    </row>
    <row r="27" spans="1:42" s="22" customFormat="1" ht="230.25" customHeight="1" thickTop="1" thickBot="1" x14ac:dyDescent="0.3">
      <c r="A27" s="185" t="s">
        <v>52</v>
      </c>
      <c r="B27" s="186" t="s">
        <v>53</v>
      </c>
      <c r="C27" s="187" t="s">
        <v>54</v>
      </c>
      <c r="D27" s="187" t="s">
        <v>55</v>
      </c>
      <c r="E27" s="187" t="s">
        <v>56</v>
      </c>
      <c r="F27" s="188" t="s">
        <v>57</v>
      </c>
      <c r="G27" s="189" t="s">
        <v>58</v>
      </c>
      <c r="H27" s="190" t="s">
        <v>59</v>
      </c>
      <c r="I27" s="190" t="s">
        <v>60</v>
      </c>
      <c r="J27" s="190" t="s">
        <v>61</v>
      </c>
      <c r="K27" s="187" t="s">
        <v>79</v>
      </c>
      <c r="L27" s="185" t="s">
        <v>87</v>
      </c>
      <c r="M27" s="185" t="s">
        <v>96</v>
      </c>
      <c r="N27" s="185" t="s">
        <v>97</v>
      </c>
      <c r="O27" s="191">
        <v>1</v>
      </c>
      <c r="P27" s="185" t="s">
        <v>98</v>
      </c>
      <c r="Q27" s="192" t="s">
        <v>67</v>
      </c>
      <c r="R27" s="192" t="s">
        <v>67</v>
      </c>
      <c r="S27" s="192" t="s">
        <v>84</v>
      </c>
      <c r="T27" s="192" t="s">
        <v>67</v>
      </c>
      <c r="U27" s="193">
        <v>1</v>
      </c>
      <c r="V27" s="193">
        <v>0.5</v>
      </c>
      <c r="W27" s="193">
        <v>0.5</v>
      </c>
      <c r="X27" s="194">
        <v>0</v>
      </c>
      <c r="Y27" s="194">
        <v>0</v>
      </c>
      <c r="Z27" s="194">
        <v>0</v>
      </c>
      <c r="AA27" s="29">
        <f>170966002.84+41000000+1700000-20000000</f>
        <v>193666002.84</v>
      </c>
      <c r="AB27" s="29">
        <f>1063866255.49+1745700</f>
        <v>1065611955.49</v>
      </c>
      <c r="AC27" s="29">
        <f>+AA27+AB27</f>
        <v>1259277958.3299999</v>
      </c>
      <c r="AD27" s="196" t="s">
        <v>69</v>
      </c>
      <c r="AE27" s="196" t="s">
        <v>70</v>
      </c>
      <c r="AF27" s="196">
        <v>0.5</v>
      </c>
      <c r="AG27" s="327">
        <v>0.25</v>
      </c>
      <c r="AH27" s="196">
        <f>+AF27+AG27</f>
        <v>0.75</v>
      </c>
      <c r="AI27" s="199">
        <v>55219158.770000003</v>
      </c>
      <c r="AJ27" s="199">
        <f>+AO25-AI27+1005970082.04</f>
        <v>1030043009.54</v>
      </c>
      <c r="AK27" s="200">
        <f>+AI27+AJ27</f>
        <v>1085262168.3099999</v>
      </c>
      <c r="AL27" s="200">
        <v>20000000</v>
      </c>
      <c r="AM27" s="196" t="s">
        <v>70</v>
      </c>
      <c r="AN27" s="285" t="s">
        <v>601</v>
      </c>
      <c r="AO27" s="184"/>
      <c r="AP27" s="665"/>
    </row>
    <row r="28" spans="1:42" s="100" customFormat="1" ht="18" customHeight="1" x14ac:dyDescent="0.25">
      <c r="A28" s="551" t="s">
        <v>99</v>
      </c>
      <c r="B28" s="552"/>
      <c r="C28" s="552"/>
      <c r="D28" s="552"/>
      <c r="E28" s="552"/>
      <c r="F28" s="552"/>
      <c r="G28" s="552"/>
      <c r="H28" s="552"/>
      <c r="I28" s="552"/>
      <c r="J28" s="552"/>
      <c r="K28" s="552"/>
      <c r="L28" s="552"/>
      <c r="M28" s="552"/>
      <c r="N28" s="552"/>
      <c r="O28" s="552"/>
      <c r="P28" s="552"/>
      <c r="Q28" s="552"/>
      <c r="R28" s="552"/>
      <c r="S28" s="552"/>
      <c r="T28" s="552"/>
      <c r="U28" s="552"/>
      <c r="V28" s="552"/>
      <c r="W28" s="553"/>
      <c r="X28" s="97"/>
      <c r="Y28" s="97"/>
      <c r="Z28" s="97"/>
      <c r="AA28" s="98">
        <f>SUM(AA29:AA30)</f>
        <v>183694068.65000001</v>
      </c>
      <c r="AB28" s="98">
        <f>SUM(AB29:AB30)</f>
        <v>-3607244.43</v>
      </c>
      <c r="AC28" s="98">
        <f>SUM(AC29:AC30)</f>
        <v>180086824.22</v>
      </c>
      <c r="AD28" s="97"/>
      <c r="AE28" s="97"/>
      <c r="AF28" s="97"/>
      <c r="AG28" s="328"/>
      <c r="AH28" s="97"/>
      <c r="AI28" s="99">
        <f>+AI29+AI30</f>
        <v>75494149.099999994</v>
      </c>
      <c r="AJ28" s="99">
        <f t="shared" ref="AJ28:AK28" si="4">+AJ29+AJ30</f>
        <v>35249785.250000015</v>
      </c>
      <c r="AK28" s="128">
        <f t="shared" si="4"/>
        <v>110743934.35000002</v>
      </c>
      <c r="AL28" s="128"/>
      <c r="AM28" s="97"/>
      <c r="AN28" s="652"/>
      <c r="AO28" s="161">
        <v>100240024.65000001</v>
      </c>
      <c r="AP28" s="657">
        <f>+AO28-AI28</f>
        <v>24745875.550000012</v>
      </c>
    </row>
    <row r="29" spans="1:42" ht="139.5" customHeight="1" x14ac:dyDescent="0.25">
      <c r="A29" s="185" t="s">
        <v>52</v>
      </c>
      <c r="B29" s="186" t="s">
        <v>53</v>
      </c>
      <c r="C29" s="187" t="s">
        <v>54</v>
      </c>
      <c r="D29" s="187" t="s">
        <v>55</v>
      </c>
      <c r="E29" s="187" t="s">
        <v>56</v>
      </c>
      <c r="F29" s="188" t="s">
        <v>57</v>
      </c>
      <c r="G29" s="189" t="s">
        <v>58</v>
      </c>
      <c r="H29" s="190" t="s">
        <v>59</v>
      </c>
      <c r="I29" s="190"/>
      <c r="J29" s="190" t="s">
        <v>100</v>
      </c>
      <c r="K29" s="453" t="s">
        <v>101</v>
      </c>
      <c r="L29" s="453" t="s">
        <v>102</v>
      </c>
      <c r="M29" s="453" t="s">
        <v>101</v>
      </c>
      <c r="N29" s="453" t="s">
        <v>103</v>
      </c>
      <c r="O29" s="206">
        <v>1</v>
      </c>
      <c r="P29" s="192" t="s">
        <v>83</v>
      </c>
      <c r="Q29" s="192">
        <v>0</v>
      </c>
      <c r="R29" s="192"/>
      <c r="S29" s="185" t="s">
        <v>104</v>
      </c>
      <c r="T29" s="192">
        <v>0</v>
      </c>
      <c r="U29" s="193">
        <v>1</v>
      </c>
      <c r="V29" s="193">
        <v>0.5</v>
      </c>
      <c r="W29" s="193">
        <v>0.5</v>
      </c>
      <c r="X29" s="194">
        <v>0</v>
      </c>
      <c r="Y29" s="194">
        <v>0</v>
      </c>
      <c r="Z29" s="194">
        <v>0</v>
      </c>
      <c r="AA29" s="454">
        <f>+Hoja1!A8</f>
        <v>64292924.027499996</v>
      </c>
      <c r="AB29" s="29">
        <v>-3607244.43</v>
      </c>
      <c r="AC29" s="29">
        <f>+AA29+AB29</f>
        <v>60685679.597499996</v>
      </c>
      <c r="AD29" s="29" t="s">
        <v>105</v>
      </c>
      <c r="AE29" s="196" t="s">
        <v>70</v>
      </c>
      <c r="AF29" s="138">
        <v>0.5</v>
      </c>
      <c r="AG29" s="318">
        <v>0.25</v>
      </c>
      <c r="AH29" s="197">
        <f>+AF29+AG29</f>
        <v>0.75</v>
      </c>
      <c r="AI29" s="450">
        <f>21540312.51+4749506.69</f>
        <v>26289819.200000003</v>
      </c>
      <c r="AJ29" s="450">
        <f>+(AP28*0.4)+Hoja4!B29</f>
        <v>14099914.100000005</v>
      </c>
      <c r="AK29" s="451">
        <f>+AI29+AJ29</f>
        <v>40389733.300000012</v>
      </c>
      <c r="AL29" s="148">
        <f>+AA29</f>
        <v>64292924.027499996</v>
      </c>
      <c r="AM29" s="149" t="s">
        <v>70</v>
      </c>
      <c r="AN29" s="284" t="s">
        <v>606</v>
      </c>
    </row>
    <row r="30" spans="1:42" ht="402.75" customHeight="1" x14ac:dyDescent="0.25">
      <c r="A30" s="185" t="s">
        <v>52</v>
      </c>
      <c r="B30" s="186" t="s">
        <v>53</v>
      </c>
      <c r="C30" s="187" t="s">
        <v>54</v>
      </c>
      <c r="D30" s="187" t="s">
        <v>55</v>
      </c>
      <c r="E30" s="187" t="s">
        <v>56</v>
      </c>
      <c r="F30" s="188" t="s">
        <v>57</v>
      </c>
      <c r="G30" s="189" t="s">
        <v>58</v>
      </c>
      <c r="H30" s="190" t="s">
        <v>59</v>
      </c>
      <c r="I30" s="190"/>
      <c r="J30" s="190" t="s">
        <v>100</v>
      </c>
      <c r="K30" s="453" t="s">
        <v>106</v>
      </c>
      <c r="L30" s="453" t="s">
        <v>102</v>
      </c>
      <c r="M30" s="455" t="s">
        <v>107</v>
      </c>
      <c r="N30" s="453" t="s">
        <v>108</v>
      </c>
      <c r="O30" s="206">
        <v>1</v>
      </c>
      <c r="P30" s="192" t="s">
        <v>83</v>
      </c>
      <c r="Q30" s="192">
        <v>0</v>
      </c>
      <c r="R30" s="192"/>
      <c r="S30" s="185" t="s">
        <v>109</v>
      </c>
      <c r="T30" s="192">
        <v>0</v>
      </c>
      <c r="U30" s="193">
        <v>1</v>
      </c>
      <c r="V30" s="193">
        <v>0.5</v>
      </c>
      <c r="W30" s="193">
        <v>0.5</v>
      </c>
      <c r="X30" s="194">
        <v>0</v>
      </c>
      <c r="Y30" s="194">
        <v>0</v>
      </c>
      <c r="Z30" s="194">
        <v>0</v>
      </c>
      <c r="AA30" s="454">
        <f>+Hoja1!A7</f>
        <v>119401144.6225</v>
      </c>
      <c r="AB30" s="29">
        <v>0</v>
      </c>
      <c r="AC30" s="29">
        <f>+AA30+AB30</f>
        <v>119401144.6225</v>
      </c>
      <c r="AD30" s="29" t="s">
        <v>105</v>
      </c>
      <c r="AE30" s="196" t="s">
        <v>70</v>
      </c>
      <c r="AF30" s="138">
        <v>0.5</v>
      </c>
      <c r="AG30" s="318">
        <v>0.25</v>
      </c>
      <c r="AH30" s="197">
        <f>+AF30+AG30</f>
        <v>0.75</v>
      </c>
      <c r="AI30" s="452">
        <f>40003437.5+380380+8820512.4</f>
        <v>49204329.899999999</v>
      </c>
      <c r="AJ30" s="450">
        <f>+(AP28*0.6)+Hoja4!B30</f>
        <v>21149871.150000006</v>
      </c>
      <c r="AK30" s="451">
        <f>+AI30+AJ30</f>
        <v>70354201.050000012</v>
      </c>
      <c r="AL30" s="148">
        <f>+AA30</f>
        <v>119401144.6225</v>
      </c>
      <c r="AM30" s="11" t="s">
        <v>70</v>
      </c>
      <c r="AN30" s="316" t="s">
        <v>110</v>
      </c>
    </row>
    <row r="31" spans="1:42" s="103" customFormat="1" ht="23.45" customHeight="1" x14ac:dyDescent="0.25">
      <c r="A31" s="544" t="s">
        <v>111</v>
      </c>
      <c r="B31" s="545"/>
      <c r="C31" s="545"/>
      <c r="D31" s="545"/>
      <c r="E31" s="545"/>
      <c r="F31" s="545"/>
      <c r="G31" s="545"/>
      <c r="H31" s="545"/>
      <c r="I31" s="545"/>
      <c r="J31" s="545"/>
      <c r="K31" s="545"/>
      <c r="L31" s="545"/>
      <c r="M31" s="545"/>
      <c r="N31" s="545"/>
      <c r="O31" s="545"/>
      <c r="P31" s="545"/>
      <c r="Q31" s="545"/>
      <c r="R31" s="545"/>
      <c r="S31" s="545"/>
      <c r="T31" s="545"/>
      <c r="U31" s="545"/>
      <c r="V31" s="545"/>
      <c r="W31" s="546"/>
      <c r="X31" s="311"/>
      <c r="Y31" s="311"/>
      <c r="Z31" s="311"/>
      <c r="AA31" s="101">
        <f>SUM(AA32)</f>
        <v>101802995.98999999</v>
      </c>
      <c r="AB31" s="94">
        <f>+AB32</f>
        <v>-16169673.73</v>
      </c>
      <c r="AC31" s="102">
        <f>+AA31+AB31</f>
        <v>85633322.25999999</v>
      </c>
      <c r="AD31" s="311"/>
      <c r="AE31" s="311"/>
      <c r="AF31" s="311"/>
      <c r="AG31" s="329"/>
      <c r="AH31" s="311"/>
      <c r="AI31" s="102">
        <f>+AI32</f>
        <v>39011613.840000004</v>
      </c>
      <c r="AJ31" s="102">
        <f>+AJ32</f>
        <v>15760445.039999994</v>
      </c>
      <c r="AK31" s="134">
        <f>+AI31+AJ31</f>
        <v>54772058.879999995</v>
      </c>
      <c r="AL31" s="134"/>
      <c r="AM31" s="311"/>
      <c r="AN31" s="651"/>
      <c r="AO31" s="162"/>
      <c r="AP31" s="665"/>
    </row>
    <row r="32" spans="1:42" s="22" customFormat="1" ht="409.6" customHeight="1" x14ac:dyDescent="0.25">
      <c r="A32" s="185" t="s">
        <v>52</v>
      </c>
      <c r="B32" s="186" t="s">
        <v>53</v>
      </c>
      <c r="C32" s="187" t="s">
        <v>54</v>
      </c>
      <c r="D32" s="187" t="s">
        <v>55</v>
      </c>
      <c r="E32" s="187" t="s">
        <v>56</v>
      </c>
      <c r="F32" s="188" t="s">
        <v>57</v>
      </c>
      <c r="G32" s="189" t="s">
        <v>58</v>
      </c>
      <c r="H32" s="190" t="s">
        <v>59</v>
      </c>
      <c r="I32" s="190" t="s">
        <v>60</v>
      </c>
      <c r="J32" s="190" t="s">
        <v>61</v>
      </c>
      <c r="K32" s="187" t="s">
        <v>112</v>
      </c>
      <c r="L32" s="185" t="s">
        <v>113</v>
      </c>
      <c r="M32" s="185" t="s">
        <v>114</v>
      </c>
      <c r="N32" s="185" t="s">
        <v>115</v>
      </c>
      <c r="O32" s="191">
        <v>1</v>
      </c>
      <c r="P32" s="192" t="s">
        <v>83</v>
      </c>
      <c r="Q32" s="192"/>
      <c r="R32" s="192"/>
      <c r="S32" s="192" t="s">
        <v>116</v>
      </c>
      <c r="T32" s="192">
        <v>1</v>
      </c>
      <c r="U32" s="193">
        <v>1</v>
      </c>
      <c r="V32" s="193">
        <v>0.5</v>
      </c>
      <c r="W32" s="193">
        <v>0.5</v>
      </c>
      <c r="X32" s="194">
        <v>1</v>
      </c>
      <c r="Y32" s="194">
        <v>0</v>
      </c>
      <c r="Z32" s="194">
        <v>0</v>
      </c>
      <c r="AA32" s="142">
        <v>101802995.98999999</v>
      </c>
      <c r="AB32" s="142">
        <f>-16367173.73+197500</f>
        <v>-16169673.73</v>
      </c>
      <c r="AC32" s="142">
        <f>+AA32+AB32</f>
        <v>85633322.25999999</v>
      </c>
      <c r="AD32" s="29" t="s">
        <v>117</v>
      </c>
      <c r="AE32" s="196" t="s">
        <v>70</v>
      </c>
      <c r="AF32" s="138">
        <v>0.5</v>
      </c>
      <c r="AG32" s="318">
        <v>0.25</v>
      </c>
      <c r="AH32" s="197">
        <f>+AF32+AG32</f>
        <v>0.75</v>
      </c>
      <c r="AI32" s="229">
        <f>32251222.11+ 6760391.73</f>
        <v>39011613.840000004</v>
      </c>
      <c r="AJ32" s="199">
        <f>+AO15+4499786.08</f>
        <v>15760445.039999994</v>
      </c>
      <c r="AK32" s="200">
        <f>+AI32+AJ32</f>
        <v>54772058.879999995</v>
      </c>
      <c r="AL32" s="207"/>
      <c r="AM32" s="29" t="s">
        <v>71</v>
      </c>
      <c r="AN32" s="316" t="s">
        <v>516</v>
      </c>
      <c r="AO32" s="184"/>
      <c r="AP32" s="665"/>
    </row>
    <row r="33" spans="1:42" s="13" customFormat="1" ht="19.149999999999999" customHeight="1" x14ac:dyDescent="0.25">
      <c r="A33" s="81" t="s">
        <v>118</v>
      </c>
      <c r="B33" s="81"/>
      <c r="C33" s="81"/>
      <c r="D33" s="81"/>
      <c r="E33" s="81"/>
      <c r="F33" s="81"/>
      <c r="G33" s="81"/>
      <c r="H33" s="81"/>
      <c r="I33" s="81"/>
      <c r="J33" s="81"/>
      <c r="K33" s="670"/>
      <c r="L33" s="144"/>
      <c r="M33" s="144"/>
      <c r="N33" s="144"/>
      <c r="O33" s="144"/>
      <c r="P33" s="144"/>
      <c r="Q33" s="144"/>
      <c r="R33" s="144"/>
      <c r="S33" s="144"/>
      <c r="T33" s="144"/>
      <c r="U33" s="144"/>
      <c r="V33" s="144"/>
      <c r="W33" s="144"/>
      <c r="X33" s="306"/>
      <c r="Y33" s="306"/>
      <c r="Z33" s="306"/>
      <c r="AA33" s="94">
        <f>SUM(AA34:AA35)</f>
        <v>127679480.73</v>
      </c>
      <c r="AB33" s="94">
        <f>+AB34+AB35</f>
        <v>12000000</v>
      </c>
      <c r="AC33" s="102">
        <f>SUM(AC34:AC35)</f>
        <v>139679480.73000002</v>
      </c>
      <c r="AD33" s="306"/>
      <c r="AE33" s="306"/>
      <c r="AF33" s="306"/>
      <c r="AG33" s="326"/>
      <c r="AH33" s="306"/>
      <c r="AI33" s="108">
        <f>SUM(AI34:AI35)</f>
        <v>45051516.770000003</v>
      </c>
      <c r="AJ33" s="108">
        <f>SUM(AJ34:AJ35)</f>
        <v>19251313.23</v>
      </c>
      <c r="AK33" s="108">
        <f>SUM(AK34:AK35)</f>
        <v>64302830</v>
      </c>
      <c r="AL33" s="133"/>
      <c r="AM33" s="306"/>
      <c r="AN33" s="651"/>
      <c r="AO33" s="14">
        <v>58836463.020000003</v>
      </c>
      <c r="AP33" s="668">
        <f>+AO33-AI33</f>
        <v>13784946.25</v>
      </c>
    </row>
    <row r="34" spans="1:42" ht="382.7" customHeight="1" x14ac:dyDescent="0.25">
      <c r="A34" s="185" t="s">
        <v>52</v>
      </c>
      <c r="B34" s="186" t="s">
        <v>53</v>
      </c>
      <c r="C34" s="187" t="s">
        <v>54</v>
      </c>
      <c r="D34" s="187" t="s">
        <v>55</v>
      </c>
      <c r="E34" s="187" t="s">
        <v>56</v>
      </c>
      <c r="F34" s="188" t="s">
        <v>57</v>
      </c>
      <c r="G34" s="189" t="s">
        <v>58</v>
      </c>
      <c r="H34" s="190" t="s">
        <v>59</v>
      </c>
      <c r="I34" s="190" t="s">
        <v>60</v>
      </c>
      <c r="J34" s="190" t="s">
        <v>100</v>
      </c>
      <c r="K34" s="187" t="s">
        <v>119</v>
      </c>
      <c r="L34" s="185" t="s">
        <v>120</v>
      </c>
      <c r="M34" s="185" t="s">
        <v>121</v>
      </c>
      <c r="N34" s="185" t="s">
        <v>122</v>
      </c>
      <c r="O34" s="192">
        <v>2</v>
      </c>
      <c r="P34" s="192" t="s">
        <v>123</v>
      </c>
      <c r="Q34" s="192" t="s">
        <v>67</v>
      </c>
      <c r="R34" s="192" t="s">
        <v>67</v>
      </c>
      <c r="S34" s="192" t="s">
        <v>124</v>
      </c>
      <c r="T34" s="192">
        <v>0</v>
      </c>
      <c r="U34" s="191">
        <v>1</v>
      </c>
      <c r="V34" s="191">
        <v>0.4</v>
      </c>
      <c r="W34" s="191">
        <v>0.6</v>
      </c>
      <c r="X34" s="194">
        <v>0</v>
      </c>
      <c r="Y34" s="194">
        <v>0</v>
      </c>
      <c r="Z34" s="194">
        <v>0</v>
      </c>
      <c r="AA34" s="29">
        <v>63839740.365000002</v>
      </c>
      <c r="AB34" s="29">
        <f>4750000+1250000</f>
        <v>6000000</v>
      </c>
      <c r="AC34" s="29">
        <f>+AA34+AB34</f>
        <v>69839740.36500001</v>
      </c>
      <c r="AD34" s="29" t="s">
        <v>125</v>
      </c>
      <c r="AE34" s="196" t="s">
        <v>70</v>
      </c>
      <c r="AF34" s="138">
        <v>0.5</v>
      </c>
      <c r="AG34" s="318">
        <v>0.25</v>
      </c>
      <c r="AH34" s="197">
        <f>+AF34+AG34</f>
        <v>0.75</v>
      </c>
      <c r="AI34" s="229">
        <f>+Hoja1!B16+Hoja1!B17+2901674.195+4160264.65+5254335.265</f>
        <v>22525758.385000002</v>
      </c>
      <c r="AJ34" s="199">
        <f>+AO34+2731817.19+1366.3</f>
        <v>9625656.6150000002</v>
      </c>
      <c r="AK34" s="200">
        <f>+AI34+AJ34</f>
        <v>32151415</v>
      </c>
      <c r="AL34" s="135"/>
      <c r="AM34" s="23"/>
      <c r="AN34" s="316" t="s">
        <v>610</v>
      </c>
      <c r="AO34" s="153">
        <f>+AP33/2</f>
        <v>6892473.125</v>
      </c>
    </row>
    <row r="35" spans="1:42" ht="326.25" customHeight="1" x14ac:dyDescent="0.25">
      <c r="A35" s="185" t="s">
        <v>52</v>
      </c>
      <c r="B35" s="186" t="s">
        <v>53</v>
      </c>
      <c r="C35" s="187" t="s">
        <v>54</v>
      </c>
      <c r="D35" s="187" t="s">
        <v>55</v>
      </c>
      <c r="E35" s="187" t="s">
        <v>56</v>
      </c>
      <c r="F35" s="188" t="s">
        <v>57</v>
      </c>
      <c r="G35" s="189" t="s">
        <v>58</v>
      </c>
      <c r="H35" s="190" t="s">
        <v>59</v>
      </c>
      <c r="I35" s="190" t="s">
        <v>60</v>
      </c>
      <c r="J35" s="190" t="s">
        <v>61</v>
      </c>
      <c r="K35" s="187" t="s">
        <v>126</v>
      </c>
      <c r="L35" s="185" t="s">
        <v>120</v>
      </c>
      <c r="M35" s="185" t="s">
        <v>127</v>
      </c>
      <c r="N35" s="185" t="s">
        <v>128</v>
      </c>
      <c r="O35" s="191">
        <v>1</v>
      </c>
      <c r="P35" s="192" t="s">
        <v>83</v>
      </c>
      <c r="Q35" s="192" t="s">
        <v>129</v>
      </c>
      <c r="R35" s="192" t="s">
        <v>129</v>
      </c>
      <c r="S35" s="192" t="s">
        <v>130</v>
      </c>
      <c r="T35" s="192">
        <v>0</v>
      </c>
      <c r="U35" s="191">
        <v>1</v>
      </c>
      <c r="V35" s="191">
        <v>0.4</v>
      </c>
      <c r="W35" s="191">
        <v>0.6</v>
      </c>
      <c r="X35" s="194">
        <v>0</v>
      </c>
      <c r="Y35" s="194">
        <v>0</v>
      </c>
      <c r="Z35" s="194">
        <v>0</v>
      </c>
      <c r="AA35" s="29">
        <v>63839740.365000002</v>
      </c>
      <c r="AB35" s="29">
        <f>4750000+1250000</f>
        <v>6000000</v>
      </c>
      <c r="AC35" s="29">
        <f>+AA35+AB35</f>
        <v>69839740.36500001</v>
      </c>
      <c r="AD35" s="29" t="s">
        <v>125</v>
      </c>
      <c r="AE35" s="196" t="s">
        <v>70</v>
      </c>
      <c r="AF35" s="138">
        <v>0.5</v>
      </c>
      <c r="AG35" s="318">
        <v>0.25</v>
      </c>
      <c r="AH35" s="197">
        <f>+AF35+AG35</f>
        <v>0.75</v>
      </c>
      <c r="AI35" s="229">
        <f>+Hoja1!B16+Hoja1!B17+2901674.195+4160264.65+5254335.265</f>
        <v>22525758.385000002</v>
      </c>
      <c r="AJ35" s="199">
        <f>+AO35+2731817.19+1366.3</f>
        <v>9625656.6150000002</v>
      </c>
      <c r="AK35" s="200">
        <f>+AI35+AJ35</f>
        <v>32151415</v>
      </c>
      <c r="AL35" s="135"/>
      <c r="AM35" s="23"/>
      <c r="AN35" s="316" t="s">
        <v>131</v>
      </c>
      <c r="AO35" s="154">
        <f>+AP33/2</f>
        <v>6892473.125</v>
      </c>
    </row>
    <row r="36" spans="1:42" s="103" customFormat="1" ht="22.9" customHeight="1" x14ac:dyDescent="0.25">
      <c r="A36" s="544" t="s">
        <v>132</v>
      </c>
      <c r="B36" s="545"/>
      <c r="C36" s="545"/>
      <c r="D36" s="545"/>
      <c r="E36" s="545"/>
      <c r="F36" s="545"/>
      <c r="G36" s="545"/>
      <c r="H36" s="545"/>
      <c r="I36" s="545"/>
      <c r="J36" s="545"/>
      <c r="K36" s="545"/>
      <c r="L36" s="545"/>
      <c r="M36" s="545"/>
      <c r="N36" s="545"/>
      <c r="O36" s="545"/>
      <c r="P36" s="545"/>
      <c r="Q36" s="545"/>
      <c r="R36" s="545"/>
      <c r="S36" s="545"/>
      <c r="T36" s="545"/>
      <c r="U36" s="545"/>
      <c r="V36" s="545"/>
      <c r="W36" s="546"/>
      <c r="X36" s="311"/>
      <c r="Y36" s="311"/>
      <c r="Z36" s="311"/>
      <c r="AA36" s="94">
        <f>AA37+AA38</f>
        <v>4081280464.4699998</v>
      </c>
      <c r="AB36" s="94">
        <f>SUM(AB37:AB38)</f>
        <v>422155613.91000003</v>
      </c>
      <c r="AC36" s="102">
        <f>+AC37+AC38</f>
        <v>4503436078.3800001</v>
      </c>
      <c r="AD36" s="311"/>
      <c r="AE36" s="311"/>
      <c r="AF36" s="311"/>
      <c r="AG36" s="329"/>
      <c r="AH36" s="311"/>
      <c r="AI36" s="102">
        <f>SUM(AI37:AI38)</f>
        <v>1875711839.5</v>
      </c>
      <c r="AJ36" s="102">
        <f t="shared" ref="AJ36:AK36" si="5">SUM(AJ37:AJ38)</f>
        <v>603645476.18000007</v>
      </c>
      <c r="AK36" s="134">
        <f t="shared" si="5"/>
        <v>2479357315.6799998</v>
      </c>
      <c r="AL36" s="134"/>
      <c r="AM36" s="311"/>
      <c r="AN36" s="651"/>
      <c r="AO36" s="162">
        <v>4452231078.3800001</v>
      </c>
      <c r="AP36" s="668">
        <f>+AC36-AO36</f>
        <v>51205000</v>
      </c>
    </row>
    <row r="37" spans="1:42" s="183" customFormat="1" ht="275.25" customHeight="1" x14ac:dyDescent="0.25">
      <c r="A37" s="185" t="s">
        <v>52</v>
      </c>
      <c r="B37" s="186" t="s">
        <v>53</v>
      </c>
      <c r="C37" s="187" t="s">
        <v>54</v>
      </c>
      <c r="D37" s="187" t="s">
        <v>55</v>
      </c>
      <c r="E37" s="187" t="s">
        <v>56</v>
      </c>
      <c r="F37" s="188" t="s">
        <v>57</v>
      </c>
      <c r="G37" s="189" t="s">
        <v>58</v>
      </c>
      <c r="H37" s="190" t="s">
        <v>59</v>
      </c>
      <c r="I37" s="190" t="s">
        <v>60</v>
      </c>
      <c r="J37" s="190" t="s">
        <v>100</v>
      </c>
      <c r="K37" s="187" t="s">
        <v>101</v>
      </c>
      <c r="L37" s="185" t="s">
        <v>133</v>
      </c>
      <c r="M37" s="190" t="s">
        <v>134</v>
      </c>
      <c r="N37" s="225" t="s">
        <v>135</v>
      </c>
      <c r="O37" s="226">
        <v>1</v>
      </c>
      <c r="P37" s="190" t="s">
        <v>83</v>
      </c>
      <c r="Q37" s="192" t="s">
        <v>136</v>
      </c>
      <c r="R37" s="192" t="s">
        <v>136</v>
      </c>
      <c r="S37" s="192" t="s">
        <v>137</v>
      </c>
      <c r="T37" s="192">
        <v>0</v>
      </c>
      <c r="U37" s="193">
        <v>1</v>
      </c>
      <c r="V37" s="191">
        <v>0.5</v>
      </c>
      <c r="W37" s="191">
        <v>0.5</v>
      </c>
      <c r="X37" s="194">
        <v>0</v>
      </c>
      <c r="Y37" s="194">
        <v>0</v>
      </c>
      <c r="Z37" s="194">
        <v>0</v>
      </c>
      <c r="AA37" s="29">
        <v>406630253.19999999</v>
      </c>
      <c r="AB37" s="29">
        <f>22530788.88-45676160.89+50325000</f>
        <v>27179627.989999998</v>
      </c>
      <c r="AC37" s="29">
        <f>+AA37+AB37</f>
        <v>433809881.19</v>
      </c>
      <c r="AD37" s="195" t="s">
        <v>138</v>
      </c>
      <c r="AE37" s="196" t="s">
        <v>70</v>
      </c>
      <c r="AF37" s="196">
        <v>0.5</v>
      </c>
      <c r="AG37" s="327">
        <v>0.25</v>
      </c>
      <c r="AH37" s="196">
        <f>+AF37+AG37</f>
        <v>0.75</v>
      </c>
      <c r="AI37" s="199">
        <v>158304721.22</v>
      </c>
      <c r="AJ37" s="199">
        <f>41562577.34+42463975.14</f>
        <v>84026552.480000004</v>
      </c>
      <c r="AK37" s="200">
        <f>+AI37+AJ37</f>
        <v>242331273.69999999</v>
      </c>
      <c r="AL37" s="227"/>
      <c r="AM37" s="196"/>
      <c r="AN37" s="316" t="s">
        <v>602</v>
      </c>
      <c r="AO37" s="228">
        <f>+(2426643340.54-AK36)</f>
        <v>-52713975.139999866</v>
      </c>
      <c r="AP37" s="656"/>
    </row>
    <row r="38" spans="1:42" s="183" customFormat="1" ht="156.75" customHeight="1" x14ac:dyDescent="0.25">
      <c r="A38" s="185" t="s">
        <v>52</v>
      </c>
      <c r="B38" s="186" t="s">
        <v>53</v>
      </c>
      <c r="C38" s="187" t="s">
        <v>54</v>
      </c>
      <c r="D38" s="187" t="s">
        <v>55</v>
      </c>
      <c r="E38" s="187" t="s">
        <v>56</v>
      </c>
      <c r="F38" s="188" t="s">
        <v>57</v>
      </c>
      <c r="G38" s="189" t="s">
        <v>58</v>
      </c>
      <c r="H38" s="190" t="s">
        <v>59</v>
      </c>
      <c r="I38" s="190" t="s">
        <v>60</v>
      </c>
      <c r="J38" s="190" t="s">
        <v>100</v>
      </c>
      <c r="K38" s="187" t="s">
        <v>139</v>
      </c>
      <c r="L38" s="185" t="s">
        <v>133</v>
      </c>
      <c r="M38" s="190" t="s">
        <v>140</v>
      </c>
      <c r="N38" s="225" t="s">
        <v>141</v>
      </c>
      <c r="O38" s="190">
        <v>1</v>
      </c>
      <c r="P38" s="190" t="s">
        <v>90</v>
      </c>
      <c r="Q38" s="192" t="s">
        <v>136</v>
      </c>
      <c r="R38" s="192" t="s">
        <v>136</v>
      </c>
      <c r="S38" s="190" t="s">
        <v>142</v>
      </c>
      <c r="T38" s="190">
        <v>1</v>
      </c>
      <c r="U38" s="190">
        <v>1</v>
      </c>
      <c r="V38" s="190">
        <v>0.3</v>
      </c>
      <c r="W38" s="190">
        <v>0.7</v>
      </c>
      <c r="X38" s="196"/>
      <c r="Y38" s="196"/>
      <c r="Z38" s="196"/>
      <c r="AA38" s="199">
        <v>3674650211.27</v>
      </c>
      <c r="AB38" s="199">
        <f>+Hoja1!B136+880000</f>
        <v>394975985.92000002</v>
      </c>
      <c r="AC38" s="199">
        <f>+AA38+AB38</f>
        <v>4069626197.1900001</v>
      </c>
      <c r="AD38" s="195" t="s">
        <v>138</v>
      </c>
      <c r="AE38" s="196" t="s">
        <v>70</v>
      </c>
      <c r="AF38" s="196">
        <f>+AI38/AC38</f>
        <v>0.42200610942249123</v>
      </c>
      <c r="AG38" s="327">
        <v>0.1414</v>
      </c>
      <c r="AH38" s="196">
        <f>+AF38+AG38</f>
        <v>0.56340610942249125</v>
      </c>
      <c r="AI38" s="199">
        <v>1717407118.28</v>
      </c>
      <c r="AJ38" s="199">
        <f>+Hoja1!B147+10250000</f>
        <v>519618923.70000005</v>
      </c>
      <c r="AK38" s="200">
        <f>+AI38+AJ38</f>
        <v>2237026041.98</v>
      </c>
      <c r="AL38" s="227"/>
      <c r="AM38" s="196"/>
      <c r="AN38" s="316" t="s">
        <v>611</v>
      </c>
      <c r="AO38" s="228"/>
      <c r="AP38" s="654">
        <f>+AJ38/AA38</f>
        <v>0.1414063635516519</v>
      </c>
    </row>
    <row r="39" spans="1:42" s="12" customFormat="1" ht="24.6" customHeight="1" x14ac:dyDescent="0.25">
      <c r="A39" s="547" t="s">
        <v>143</v>
      </c>
      <c r="B39" s="548"/>
      <c r="C39" s="548"/>
      <c r="D39" s="548"/>
      <c r="E39" s="548"/>
      <c r="F39" s="548"/>
      <c r="G39" s="548"/>
      <c r="H39" s="548"/>
      <c r="I39" s="548"/>
      <c r="J39" s="548"/>
      <c r="K39" s="548"/>
      <c r="L39" s="548"/>
      <c r="M39" s="548"/>
      <c r="N39" s="548"/>
      <c r="O39" s="548"/>
      <c r="P39" s="548"/>
      <c r="Q39" s="548"/>
      <c r="R39" s="548"/>
      <c r="S39" s="548"/>
      <c r="T39" s="548"/>
      <c r="U39" s="548"/>
      <c r="V39" s="548"/>
      <c r="W39" s="549"/>
      <c r="X39" s="306"/>
      <c r="Y39" s="306"/>
      <c r="Z39" s="306"/>
      <c r="AA39" s="59">
        <f>SUM(AA40:AA49)</f>
        <v>1384914097.3600001</v>
      </c>
      <c r="AB39" s="59">
        <f t="shared" ref="AB39:AC39" si="6">SUM(AB40:AB49)</f>
        <v>-109657083.13000011</v>
      </c>
      <c r="AC39" s="59">
        <f t="shared" si="6"/>
        <v>1275257014.23</v>
      </c>
      <c r="AD39" s="306"/>
      <c r="AE39" s="306"/>
      <c r="AF39" s="306"/>
      <c r="AG39" s="326"/>
      <c r="AH39" s="306"/>
      <c r="AI39" s="102">
        <f>SUM(AI40:AI49)</f>
        <v>496883491.16000003</v>
      </c>
      <c r="AJ39" s="102">
        <f>SUM(AJ40:AJ49)</f>
        <v>117330116.86999999</v>
      </c>
      <c r="AK39" s="134">
        <f>SUM(AK40:AK49)</f>
        <v>614213608.02999997</v>
      </c>
      <c r="AL39" s="133"/>
      <c r="AM39" s="306"/>
      <c r="AN39" s="651"/>
      <c r="AO39" s="168">
        <v>584763256.42999995</v>
      </c>
      <c r="AP39" s="655">
        <f>+AO39-AK39</f>
        <v>-29450351.600000024</v>
      </c>
    </row>
    <row r="40" spans="1:42" s="12" customFormat="1" ht="173.25" customHeight="1" x14ac:dyDescent="0.25">
      <c r="A40" s="185" t="s">
        <v>52</v>
      </c>
      <c r="B40" s="186" t="s">
        <v>53</v>
      </c>
      <c r="C40" s="187" t="s">
        <v>54</v>
      </c>
      <c r="D40" s="187" t="s">
        <v>55</v>
      </c>
      <c r="E40" s="187" t="s">
        <v>56</v>
      </c>
      <c r="F40" s="188" t="s">
        <v>57</v>
      </c>
      <c r="G40" s="189" t="s">
        <v>58</v>
      </c>
      <c r="H40" s="190" t="s">
        <v>59</v>
      </c>
      <c r="I40" s="190" t="s">
        <v>60</v>
      </c>
      <c r="J40" s="190" t="s">
        <v>61</v>
      </c>
      <c r="K40" s="187" t="s">
        <v>73</v>
      </c>
      <c r="L40" s="185" t="s">
        <v>144</v>
      </c>
      <c r="M40" s="185" t="s">
        <v>145</v>
      </c>
      <c r="N40" s="185" t="s">
        <v>146</v>
      </c>
      <c r="O40" s="192">
        <v>23</v>
      </c>
      <c r="P40" s="192" t="s">
        <v>147</v>
      </c>
      <c r="Q40" s="192" t="s">
        <v>129</v>
      </c>
      <c r="R40" s="192" t="s">
        <v>129</v>
      </c>
      <c r="S40" s="185" t="s">
        <v>148</v>
      </c>
      <c r="T40" s="192">
        <v>0</v>
      </c>
      <c r="U40" s="192">
        <v>23</v>
      </c>
      <c r="V40" s="192">
        <v>11</v>
      </c>
      <c r="W40" s="192">
        <v>12</v>
      </c>
      <c r="X40" s="194">
        <v>0</v>
      </c>
      <c r="Y40" s="194">
        <v>0</v>
      </c>
      <c r="Z40" s="194">
        <v>0</v>
      </c>
      <c r="AA40" s="29">
        <f>130000+25363147.88</f>
        <v>25493147.879999999</v>
      </c>
      <c r="AB40" s="29">
        <v>0</v>
      </c>
      <c r="AC40" s="29">
        <f>+AA40+AB40</f>
        <v>25493147.879999999</v>
      </c>
      <c r="AD40" s="195" t="s">
        <v>149</v>
      </c>
      <c r="AE40" s="196" t="s">
        <v>70</v>
      </c>
      <c r="AF40" s="197">
        <v>0.5</v>
      </c>
      <c r="AG40" s="330">
        <v>0.25</v>
      </c>
      <c r="AH40" s="198">
        <f>+AF40+AG40</f>
        <v>0.75</v>
      </c>
      <c r="AI40" s="199">
        <f>3591060+600000+2050000+2050000+2050000+2050000</f>
        <v>12391060</v>
      </c>
      <c r="AJ40" s="199">
        <f>4100000+2050000</f>
        <v>6150000</v>
      </c>
      <c r="AK40" s="200">
        <f t="shared" ref="AK40:AK49" si="7">+AI40+AJ40</f>
        <v>18541060</v>
      </c>
      <c r="AL40" s="135">
        <v>130000</v>
      </c>
      <c r="AM40" s="23"/>
      <c r="AN40" s="284" t="s">
        <v>603</v>
      </c>
      <c r="AO40" s="163"/>
      <c r="AP40" s="656"/>
    </row>
    <row r="41" spans="1:42" s="12" customFormat="1" ht="409.6" customHeight="1" x14ac:dyDescent="0.25">
      <c r="A41" s="185" t="s">
        <v>52</v>
      </c>
      <c r="B41" s="186" t="s">
        <v>53</v>
      </c>
      <c r="C41" s="187" t="s">
        <v>54</v>
      </c>
      <c r="D41" s="187" t="s">
        <v>55</v>
      </c>
      <c r="E41" s="187" t="s">
        <v>56</v>
      </c>
      <c r="F41" s="188" t="s">
        <v>57</v>
      </c>
      <c r="G41" s="189" t="s">
        <v>58</v>
      </c>
      <c r="H41" s="190" t="s">
        <v>59</v>
      </c>
      <c r="I41" s="190" t="s">
        <v>60</v>
      </c>
      <c r="J41" s="190" t="s">
        <v>61</v>
      </c>
      <c r="K41" s="187" t="s">
        <v>150</v>
      </c>
      <c r="L41" s="185" t="s">
        <v>144</v>
      </c>
      <c r="M41" s="185" t="s">
        <v>151</v>
      </c>
      <c r="N41" s="185" t="s">
        <v>152</v>
      </c>
      <c r="O41" s="191">
        <v>1</v>
      </c>
      <c r="P41" s="192" t="s">
        <v>153</v>
      </c>
      <c r="Q41" s="192" t="s">
        <v>136</v>
      </c>
      <c r="R41" s="192" t="s">
        <v>136</v>
      </c>
      <c r="S41" s="192" t="s">
        <v>154</v>
      </c>
      <c r="T41" s="192">
        <v>0</v>
      </c>
      <c r="U41" s="193">
        <v>1</v>
      </c>
      <c r="V41" s="193">
        <v>0.47</v>
      </c>
      <c r="W41" s="193">
        <v>0.53</v>
      </c>
      <c r="X41" s="194">
        <v>0</v>
      </c>
      <c r="Y41" s="194">
        <v>0</v>
      </c>
      <c r="Z41" s="194">
        <v>0</v>
      </c>
      <c r="AA41" s="29">
        <f>1410000+51600228.12</f>
        <v>53010228.119999997</v>
      </c>
      <c r="AB41" s="29">
        <v>0</v>
      </c>
      <c r="AC41" s="29">
        <f t="shared" ref="AC41:AC49" si="8">+AA41+AB41</f>
        <v>53010228.119999997</v>
      </c>
      <c r="AD41" s="195" t="s">
        <v>155</v>
      </c>
      <c r="AE41" s="196" t="s">
        <v>70</v>
      </c>
      <c r="AF41" s="197">
        <v>0.49099999999999999</v>
      </c>
      <c r="AG41" s="330">
        <v>0.25</v>
      </c>
      <c r="AH41" s="198">
        <f t="shared" ref="AH41:AH49" si="9">+AF41+AG41</f>
        <v>0.74099999999999999</v>
      </c>
      <c r="AI41" s="199">
        <f>8638001.23+800000+4750000-1150062+7750000+56926+4220000</f>
        <v>25064865.23</v>
      </c>
      <c r="AJ41" s="199">
        <f>4220000+4220000+4220000</f>
        <v>12660000</v>
      </c>
      <c r="AK41" s="200">
        <f t="shared" si="7"/>
        <v>37724865.230000004</v>
      </c>
      <c r="AL41" s="135">
        <v>3560000</v>
      </c>
      <c r="AM41" s="23"/>
      <c r="AN41" s="316" t="s">
        <v>615</v>
      </c>
      <c r="AO41" s="163"/>
      <c r="AP41" s="656"/>
    </row>
    <row r="42" spans="1:42" s="12" customFormat="1" ht="316.5" customHeight="1" x14ac:dyDescent="0.25">
      <c r="A42" s="185" t="s">
        <v>52</v>
      </c>
      <c r="B42" s="186" t="s">
        <v>53</v>
      </c>
      <c r="C42" s="187" t="s">
        <v>54</v>
      </c>
      <c r="D42" s="187" t="s">
        <v>55</v>
      </c>
      <c r="E42" s="187" t="s">
        <v>56</v>
      </c>
      <c r="F42" s="188" t="s">
        <v>57</v>
      </c>
      <c r="G42" s="189" t="s">
        <v>58</v>
      </c>
      <c r="H42" s="190" t="s">
        <v>59</v>
      </c>
      <c r="I42" s="190" t="s">
        <v>60</v>
      </c>
      <c r="J42" s="190" t="s">
        <v>100</v>
      </c>
      <c r="K42" s="187" t="s">
        <v>106</v>
      </c>
      <c r="L42" s="185" t="s">
        <v>144</v>
      </c>
      <c r="M42" s="185" t="s">
        <v>156</v>
      </c>
      <c r="N42" s="185" t="s">
        <v>157</v>
      </c>
      <c r="O42" s="191">
        <v>1</v>
      </c>
      <c r="P42" s="192" t="s">
        <v>158</v>
      </c>
      <c r="Q42" s="192" t="s">
        <v>129</v>
      </c>
      <c r="R42" s="192" t="s">
        <v>129</v>
      </c>
      <c r="S42" s="192" t="s">
        <v>159</v>
      </c>
      <c r="T42" s="192" t="s">
        <v>129</v>
      </c>
      <c r="U42" s="193">
        <v>1</v>
      </c>
      <c r="V42" s="193">
        <v>0.5</v>
      </c>
      <c r="W42" s="193">
        <v>0.5</v>
      </c>
      <c r="X42" s="194">
        <v>0</v>
      </c>
      <c r="Y42" s="194">
        <v>0</v>
      </c>
      <c r="Z42" s="194">
        <v>0</v>
      </c>
      <c r="AA42" s="29">
        <v>43801910.039999999</v>
      </c>
      <c r="AB42" s="29">
        <v>0</v>
      </c>
      <c r="AC42" s="29">
        <f t="shared" si="8"/>
        <v>43801910.039999999</v>
      </c>
      <c r="AD42" s="29" t="s">
        <v>155</v>
      </c>
      <c r="AE42" s="196" t="s">
        <v>70</v>
      </c>
      <c r="AF42" s="197">
        <v>0.5</v>
      </c>
      <c r="AG42" s="330">
        <v>0.25</v>
      </c>
      <c r="AH42" s="198">
        <f t="shared" si="9"/>
        <v>0.75</v>
      </c>
      <c r="AI42" s="199">
        <f>7430965.12+3750000+7435000+3750000+60000</f>
        <v>22425965.120000001</v>
      </c>
      <c r="AJ42" s="199">
        <f>7435000+3850000</f>
        <v>11285000</v>
      </c>
      <c r="AK42" s="200">
        <f t="shared" si="7"/>
        <v>33710965.120000005</v>
      </c>
      <c r="AL42" s="135">
        <v>3350000</v>
      </c>
      <c r="AM42" s="23"/>
      <c r="AN42" s="284" t="s">
        <v>604</v>
      </c>
      <c r="AO42" s="163"/>
      <c r="AP42" s="656"/>
    </row>
    <row r="43" spans="1:42" s="12" customFormat="1" ht="409.5" customHeight="1" thickTop="1" thickBot="1" x14ac:dyDescent="0.3">
      <c r="A43" s="185" t="s">
        <v>52</v>
      </c>
      <c r="B43" s="186" t="s">
        <v>53</v>
      </c>
      <c r="C43" s="187" t="s">
        <v>54</v>
      </c>
      <c r="D43" s="187" t="s">
        <v>55</v>
      </c>
      <c r="E43" s="187" t="s">
        <v>56</v>
      </c>
      <c r="F43" s="188" t="s">
        <v>57</v>
      </c>
      <c r="G43" s="189" t="s">
        <v>58</v>
      </c>
      <c r="H43" s="190" t="s">
        <v>59</v>
      </c>
      <c r="I43" s="190" t="s">
        <v>60</v>
      </c>
      <c r="J43" s="190" t="s">
        <v>100</v>
      </c>
      <c r="K43" s="187" t="s">
        <v>106</v>
      </c>
      <c r="L43" s="185" t="s">
        <v>144</v>
      </c>
      <c r="M43" s="185" t="s">
        <v>160</v>
      </c>
      <c r="N43" s="185" t="s">
        <v>161</v>
      </c>
      <c r="O43" s="191">
        <v>1</v>
      </c>
      <c r="P43" s="192" t="s">
        <v>162</v>
      </c>
      <c r="Q43" s="192" t="s">
        <v>129</v>
      </c>
      <c r="R43" s="192" t="s">
        <v>129</v>
      </c>
      <c r="S43" s="192" t="s">
        <v>163</v>
      </c>
      <c r="T43" s="192" t="s">
        <v>129</v>
      </c>
      <c r="U43" s="193">
        <v>1</v>
      </c>
      <c r="V43" s="193">
        <v>0.5</v>
      </c>
      <c r="W43" s="193">
        <v>0.5</v>
      </c>
      <c r="X43" s="194">
        <v>0</v>
      </c>
      <c r="Y43" s="194">
        <v>0</v>
      </c>
      <c r="Z43" s="194">
        <v>0</v>
      </c>
      <c r="AA43" s="29">
        <f>693224986+50075509.35-30606158.98</f>
        <v>712694336.37</v>
      </c>
      <c r="AB43" s="29">
        <f>-75500000+-61000000-Hoja1!C163+80000000+18000000</f>
        <v>-325122643.1500001</v>
      </c>
      <c r="AC43" s="29">
        <f t="shared" si="8"/>
        <v>387571693.21999991</v>
      </c>
      <c r="AD43" s="195" t="s">
        <v>164</v>
      </c>
      <c r="AE43" s="196" t="s">
        <v>70</v>
      </c>
      <c r="AF43" s="197">
        <v>0.5</v>
      </c>
      <c r="AG43" s="330">
        <v>0.25</v>
      </c>
      <c r="AH43" s="198">
        <f t="shared" si="9"/>
        <v>0.75</v>
      </c>
      <c r="AI43" s="199">
        <f>21995477.04+22754220.58+9215911.93+16000000+2000000+4020000+466286+20178802.11+8400000+11579239.22+5084025.43+26531.55+1076775+99043.25+7023707.63+4927252.5+36781066.03-1985860+4668286+8116586.85</f>
        <v>182427351.12</v>
      </c>
      <c r="AJ43" s="199">
        <f>7023350+22779970.35+19719364.12</f>
        <v>49522684.469999999</v>
      </c>
      <c r="AK43" s="200">
        <f t="shared" si="7"/>
        <v>231950035.59</v>
      </c>
      <c r="AL43" s="205">
        <v>556374986</v>
      </c>
      <c r="AM43" s="202"/>
      <c r="AN43" s="284" t="s">
        <v>605</v>
      </c>
      <c r="AO43" s="163"/>
      <c r="AP43" s="656"/>
    </row>
    <row r="44" spans="1:42" s="12" customFormat="1" ht="120" hidden="1" customHeight="1" x14ac:dyDescent="0.25">
      <c r="A44" s="208" t="s">
        <v>52</v>
      </c>
      <c r="B44" s="209" t="s">
        <v>53</v>
      </c>
      <c r="C44" s="210" t="s">
        <v>54</v>
      </c>
      <c r="D44" s="210" t="s">
        <v>55</v>
      </c>
      <c r="E44" s="210" t="s">
        <v>56</v>
      </c>
      <c r="F44" s="211" t="s">
        <v>57</v>
      </c>
      <c r="G44" s="212" t="s">
        <v>58</v>
      </c>
      <c r="H44" s="213" t="s">
        <v>59</v>
      </c>
      <c r="I44" s="213" t="s">
        <v>60</v>
      </c>
      <c r="J44" s="213" t="s">
        <v>100</v>
      </c>
      <c r="K44" s="210" t="s">
        <v>106</v>
      </c>
      <c r="L44" s="208" t="s">
        <v>144</v>
      </c>
      <c r="M44" s="208" t="s">
        <v>165</v>
      </c>
      <c r="N44" s="208" t="s">
        <v>166</v>
      </c>
      <c r="O44" s="214">
        <v>3</v>
      </c>
      <c r="P44" s="214" t="s">
        <v>162</v>
      </c>
      <c r="Q44" s="214" t="s">
        <v>129</v>
      </c>
      <c r="R44" s="214" t="s">
        <v>129</v>
      </c>
      <c r="S44" s="214" t="s">
        <v>167</v>
      </c>
      <c r="T44" s="214" t="s">
        <v>129</v>
      </c>
      <c r="U44" s="214">
        <v>3</v>
      </c>
      <c r="V44" s="214">
        <v>0</v>
      </c>
      <c r="W44" s="214">
        <v>3</v>
      </c>
      <c r="X44" s="215">
        <v>0</v>
      </c>
      <c r="Y44" s="215">
        <v>0</v>
      </c>
      <c r="Z44" s="215">
        <v>0</v>
      </c>
      <c r="AA44" s="216">
        <f t="shared" ref="AA44" si="10">+AL44</f>
        <v>80000000</v>
      </c>
      <c r="AB44" s="216">
        <v>-80000000</v>
      </c>
      <c r="AC44" s="216">
        <f t="shared" si="8"/>
        <v>0</v>
      </c>
      <c r="AD44" s="217" t="s">
        <v>164</v>
      </c>
      <c r="AE44" s="218" t="s">
        <v>70</v>
      </c>
      <c r="AF44" s="219">
        <v>0</v>
      </c>
      <c r="AG44" s="330">
        <v>0</v>
      </c>
      <c r="AH44" s="220">
        <f t="shared" si="9"/>
        <v>0</v>
      </c>
      <c r="AI44" s="221">
        <v>0</v>
      </c>
      <c r="AJ44" s="221">
        <v>0</v>
      </c>
      <c r="AK44" s="222">
        <f t="shared" si="7"/>
        <v>0</v>
      </c>
      <c r="AL44" s="223">
        <v>80000000</v>
      </c>
      <c r="AM44" s="224"/>
      <c r="AN44" s="317" t="s">
        <v>168</v>
      </c>
      <c r="AO44" s="163"/>
      <c r="AP44" s="656"/>
    </row>
    <row r="45" spans="1:42" s="12" customFormat="1" ht="409.6" customHeight="1" thickTop="1" thickBot="1" x14ac:dyDescent="0.3">
      <c r="A45" s="185" t="s">
        <v>52</v>
      </c>
      <c r="B45" s="186" t="s">
        <v>53</v>
      </c>
      <c r="C45" s="187" t="s">
        <v>54</v>
      </c>
      <c r="D45" s="187" t="s">
        <v>55</v>
      </c>
      <c r="E45" s="187" t="s">
        <v>56</v>
      </c>
      <c r="F45" s="188" t="s">
        <v>57</v>
      </c>
      <c r="G45" s="189" t="s">
        <v>58</v>
      </c>
      <c r="H45" s="190" t="s">
        <v>59</v>
      </c>
      <c r="I45" s="190" t="s">
        <v>60</v>
      </c>
      <c r="J45" s="190" t="s">
        <v>100</v>
      </c>
      <c r="K45" s="187" t="s">
        <v>106</v>
      </c>
      <c r="L45" s="185" t="s">
        <v>144</v>
      </c>
      <c r="M45" s="185" t="s">
        <v>169</v>
      </c>
      <c r="N45" s="185" t="s">
        <v>170</v>
      </c>
      <c r="O45" s="191">
        <v>1</v>
      </c>
      <c r="P45" s="192" t="s">
        <v>162</v>
      </c>
      <c r="Q45" s="192" t="s">
        <v>129</v>
      </c>
      <c r="R45" s="192" t="s">
        <v>129</v>
      </c>
      <c r="S45" s="192" t="s">
        <v>171</v>
      </c>
      <c r="T45" s="192" t="s">
        <v>129</v>
      </c>
      <c r="U45" s="193">
        <v>1</v>
      </c>
      <c r="V45" s="191">
        <v>0.65</v>
      </c>
      <c r="W45" s="191">
        <v>0.35</v>
      </c>
      <c r="X45" s="194">
        <v>0</v>
      </c>
      <c r="Y45" s="194">
        <v>0</v>
      </c>
      <c r="Z45" s="194">
        <v>0</v>
      </c>
      <c r="AA45" s="29">
        <f>11000000+78070755.81+9950000</f>
        <v>99020755.810000002</v>
      </c>
      <c r="AB45" s="29">
        <v>-3000000</v>
      </c>
      <c r="AC45" s="29">
        <f t="shared" si="8"/>
        <v>96020755.810000002</v>
      </c>
      <c r="AD45" s="195" t="s">
        <v>172</v>
      </c>
      <c r="AE45" s="196" t="s">
        <v>70</v>
      </c>
      <c r="AF45" s="197">
        <v>0.5</v>
      </c>
      <c r="AG45" s="330">
        <v>0.25</v>
      </c>
      <c r="AH45" s="198">
        <f t="shared" si="9"/>
        <v>0.75</v>
      </c>
      <c r="AI45" s="199">
        <f>12368221.13+8000000+6250000+14500000+86982.75+7525812.5</f>
        <v>48731016.380000003</v>
      </c>
      <c r="AJ45" s="199">
        <f>7525812.5+7525812.5+6100520+1825198.6-3000000</f>
        <v>19977343.600000001</v>
      </c>
      <c r="AK45" s="200">
        <f t="shared" si="7"/>
        <v>68708359.980000004</v>
      </c>
      <c r="AL45" s="135">
        <f>11000000+9950000</f>
        <v>20950000</v>
      </c>
      <c r="AM45" s="23"/>
      <c r="AN45" s="280" t="s">
        <v>173</v>
      </c>
      <c r="AO45" s="163"/>
      <c r="AP45" s="656"/>
    </row>
    <row r="46" spans="1:42" s="12" customFormat="1" ht="99" customHeight="1" thickTop="1" thickBot="1" x14ac:dyDescent="0.3">
      <c r="A46" s="185" t="s">
        <v>52</v>
      </c>
      <c r="B46" s="186" t="s">
        <v>53</v>
      </c>
      <c r="C46" s="187" t="s">
        <v>54</v>
      </c>
      <c r="D46" s="187" t="s">
        <v>55</v>
      </c>
      <c r="E46" s="187" t="s">
        <v>56</v>
      </c>
      <c r="F46" s="188" t="s">
        <v>57</v>
      </c>
      <c r="G46" s="189" t="s">
        <v>58</v>
      </c>
      <c r="H46" s="190" t="s">
        <v>59</v>
      </c>
      <c r="I46" s="190" t="s">
        <v>60</v>
      </c>
      <c r="J46" s="190" t="s">
        <v>174</v>
      </c>
      <c r="K46" s="187" t="s">
        <v>150</v>
      </c>
      <c r="L46" s="185" t="s">
        <v>144</v>
      </c>
      <c r="M46" s="185" t="s">
        <v>175</v>
      </c>
      <c r="N46" s="185" t="s">
        <v>176</v>
      </c>
      <c r="O46" s="191">
        <v>1</v>
      </c>
      <c r="P46" s="192" t="s">
        <v>123</v>
      </c>
      <c r="Q46" s="192" t="s">
        <v>129</v>
      </c>
      <c r="R46" s="192" t="s">
        <v>129</v>
      </c>
      <c r="S46" s="192" t="s">
        <v>177</v>
      </c>
      <c r="T46" s="192">
        <v>0</v>
      </c>
      <c r="U46" s="193">
        <v>1</v>
      </c>
      <c r="V46" s="193">
        <v>0.5</v>
      </c>
      <c r="W46" s="193">
        <v>0.5</v>
      </c>
      <c r="X46" s="194">
        <v>0</v>
      </c>
      <c r="Y46" s="194">
        <v>0</v>
      </c>
      <c r="Z46" s="194">
        <v>0</v>
      </c>
      <c r="AA46" s="29">
        <v>4639710.05</v>
      </c>
      <c r="AB46" s="29">
        <v>0</v>
      </c>
      <c r="AC46" s="29">
        <f t="shared" si="8"/>
        <v>4639710.05</v>
      </c>
      <c r="AD46" s="195" t="s">
        <v>155</v>
      </c>
      <c r="AE46" s="196" t="s">
        <v>70</v>
      </c>
      <c r="AF46" s="197">
        <v>0</v>
      </c>
      <c r="AG46" s="330">
        <v>0</v>
      </c>
      <c r="AH46" s="198">
        <f t="shared" si="9"/>
        <v>0</v>
      </c>
      <c r="AI46" s="199">
        <v>0</v>
      </c>
      <c r="AJ46" s="199">
        <v>0</v>
      </c>
      <c r="AK46" s="200">
        <f t="shared" si="7"/>
        <v>0</v>
      </c>
      <c r="AL46" s="201">
        <v>0</v>
      </c>
      <c r="AM46" s="202"/>
      <c r="AN46" s="280" t="s">
        <v>178</v>
      </c>
      <c r="AO46" s="163"/>
      <c r="AP46" s="656"/>
    </row>
    <row r="47" spans="1:42" s="12" customFormat="1" ht="207.75" customHeight="1" thickTop="1" thickBot="1" x14ac:dyDescent="0.3">
      <c r="A47" s="185" t="s">
        <v>52</v>
      </c>
      <c r="B47" s="185" t="s">
        <v>53</v>
      </c>
      <c r="C47" s="185" t="s">
        <v>54</v>
      </c>
      <c r="D47" s="185" t="s">
        <v>55</v>
      </c>
      <c r="E47" s="185" t="s">
        <v>56</v>
      </c>
      <c r="F47" s="185" t="s">
        <v>57</v>
      </c>
      <c r="G47" s="185" t="s">
        <v>58</v>
      </c>
      <c r="H47" s="185" t="s">
        <v>59</v>
      </c>
      <c r="I47" s="185" t="s">
        <v>60</v>
      </c>
      <c r="J47" s="185" t="s">
        <v>174</v>
      </c>
      <c r="K47" s="185" t="s">
        <v>179</v>
      </c>
      <c r="L47" s="185" t="s">
        <v>144</v>
      </c>
      <c r="M47" s="185" t="s">
        <v>180</v>
      </c>
      <c r="N47" s="185" t="s">
        <v>181</v>
      </c>
      <c r="O47" s="191">
        <v>1</v>
      </c>
      <c r="P47" s="185" t="s">
        <v>182</v>
      </c>
      <c r="Q47" s="185" t="s">
        <v>129</v>
      </c>
      <c r="R47" s="185" t="s">
        <v>129</v>
      </c>
      <c r="S47" s="185" t="s">
        <v>183</v>
      </c>
      <c r="T47" s="185">
        <v>0</v>
      </c>
      <c r="U47" s="193">
        <v>1</v>
      </c>
      <c r="V47" s="193">
        <v>0.5</v>
      </c>
      <c r="W47" s="193">
        <v>0.5</v>
      </c>
      <c r="X47" s="202">
        <v>0</v>
      </c>
      <c r="Y47" s="202">
        <v>0</v>
      </c>
      <c r="Z47" s="202">
        <v>0</v>
      </c>
      <c r="AA47" s="203">
        <f>205200000+92470057.96</f>
        <v>297670057.95999998</v>
      </c>
      <c r="AB47" s="203">
        <f>264000000+27546770.5+1918789.52+40000000</f>
        <v>333465560.01999998</v>
      </c>
      <c r="AC47" s="29">
        <f t="shared" si="8"/>
        <v>631135617.98000002</v>
      </c>
      <c r="AD47" s="202" t="s">
        <v>155</v>
      </c>
      <c r="AE47" s="202" t="s">
        <v>70</v>
      </c>
      <c r="AF47" s="204">
        <v>0.5</v>
      </c>
      <c r="AG47" s="331">
        <v>0.25</v>
      </c>
      <c r="AH47" s="198">
        <f t="shared" si="9"/>
        <v>0.75</v>
      </c>
      <c r="AI47" s="203">
        <f>11026262.2+143128943.27+2038038.32+4350000+2539100.4+11600000+14736596.38+6200000+ 2921439.2</f>
        <v>198540379.76999998</v>
      </c>
      <c r="AJ47" s="203">
        <f>13250568.5+414760.15+414760.15</f>
        <v>14080088.800000001</v>
      </c>
      <c r="AK47" s="205">
        <f t="shared" si="7"/>
        <v>212620468.56999999</v>
      </c>
      <c r="AL47" s="205">
        <v>205200000</v>
      </c>
      <c r="AM47" s="202"/>
      <c r="AN47" s="316" t="s">
        <v>599</v>
      </c>
      <c r="AO47" s="163"/>
      <c r="AP47" s="656"/>
    </row>
    <row r="48" spans="1:42" s="12" customFormat="1" ht="141" customHeight="1" thickTop="1" thickBot="1" x14ac:dyDescent="0.3">
      <c r="A48" s="185" t="s">
        <v>52</v>
      </c>
      <c r="B48" s="185" t="s">
        <v>53</v>
      </c>
      <c r="C48" s="185" t="s">
        <v>54</v>
      </c>
      <c r="D48" s="185" t="s">
        <v>55</v>
      </c>
      <c r="E48" s="185" t="s">
        <v>56</v>
      </c>
      <c r="F48" s="185" t="s">
        <v>57</v>
      </c>
      <c r="G48" s="185" t="s">
        <v>58</v>
      </c>
      <c r="H48" s="185" t="s">
        <v>59</v>
      </c>
      <c r="I48" s="185" t="s">
        <v>60</v>
      </c>
      <c r="J48" s="185" t="s">
        <v>174</v>
      </c>
      <c r="K48" s="185" t="s">
        <v>179</v>
      </c>
      <c r="L48" s="185" t="s">
        <v>144</v>
      </c>
      <c r="M48" s="185" t="s">
        <v>184</v>
      </c>
      <c r="N48" s="185" t="s">
        <v>185</v>
      </c>
      <c r="O48" s="191">
        <v>1</v>
      </c>
      <c r="P48" s="185" t="s">
        <v>123</v>
      </c>
      <c r="Q48" s="192">
        <v>50</v>
      </c>
      <c r="R48" s="192">
        <v>68</v>
      </c>
      <c r="S48" s="185" t="s">
        <v>186</v>
      </c>
      <c r="T48" s="185">
        <v>0</v>
      </c>
      <c r="U48" s="193">
        <v>1</v>
      </c>
      <c r="V48" s="193">
        <v>0.5</v>
      </c>
      <c r="W48" s="193">
        <v>0.5</v>
      </c>
      <c r="X48" s="202"/>
      <c r="Y48" s="202"/>
      <c r="Z48" s="202"/>
      <c r="AA48" s="203">
        <v>50000000</v>
      </c>
      <c r="AB48" s="203">
        <v>-35000000</v>
      </c>
      <c r="AC48" s="29">
        <f t="shared" si="8"/>
        <v>15000000</v>
      </c>
      <c r="AD48" s="202" t="s">
        <v>155</v>
      </c>
      <c r="AE48" s="202" t="s">
        <v>70</v>
      </c>
      <c r="AF48" s="204">
        <v>0</v>
      </c>
      <c r="AG48" s="331">
        <v>0</v>
      </c>
      <c r="AH48" s="198">
        <f t="shared" si="9"/>
        <v>0</v>
      </c>
      <c r="AI48" s="202"/>
      <c r="AJ48" s="203"/>
      <c r="AK48" s="205"/>
      <c r="AL48" s="205"/>
      <c r="AM48" s="202"/>
      <c r="AN48" s="280" t="s">
        <v>600</v>
      </c>
      <c r="AO48" s="163"/>
      <c r="AP48" s="656"/>
    </row>
    <row r="49" spans="1:42" s="12" customFormat="1" ht="409.5" customHeight="1" thickTop="1" thickBot="1" x14ac:dyDescent="0.3">
      <c r="A49" s="185" t="s">
        <v>52</v>
      </c>
      <c r="B49" s="185" t="s">
        <v>53</v>
      </c>
      <c r="C49" s="185" t="s">
        <v>54</v>
      </c>
      <c r="D49" s="185" t="s">
        <v>55</v>
      </c>
      <c r="E49" s="185" t="s">
        <v>56</v>
      </c>
      <c r="F49" s="185" t="s">
        <v>57</v>
      </c>
      <c r="G49" s="185" t="s">
        <v>58</v>
      </c>
      <c r="H49" s="185" t="s">
        <v>187</v>
      </c>
      <c r="I49" s="185" t="s">
        <v>60</v>
      </c>
      <c r="J49" s="185" t="s">
        <v>174</v>
      </c>
      <c r="K49" s="185" t="s">
        <v>179</v>
      </c>
      <c r="L49" s="185" t="s">
        <v>144</v>
      </c>
      <c r="M49" s="185" t="s">
        <v>188</v>
      </c>
      <c r="N49" s="185" t="s">
        <v>189</v>
      </c>
      <c r="O49" s="206">
        <v>1</v>
      </c>
      <c r="P49" s="185" t="s">
        <v>190</v>
      </c>
      <c r="Q49" s="185" t="s">
        <v>136</v>
      </c>
      <c r="R49" s="185" t="s">
        <v>136</v>
      </c>
      <c r="S49" s="185" t="s">
        <v>191</v>
      </c>
      <c r="T49" s="185" t="s">
        <v>129</v>
      </c>
      <c r="U49" s="193">
        <v>1</v>
      </c>
      <c r="V49" s="193">
        <v>0.47</v>
      </c>
      <c r="W49" s="193">
        <v>0.53</v>
      </c>
      <c r="X49" s="202">
        <v>0</v>
      </c>
      <c r="Y49" s="202">
        <v>0</v>
      </c>
      <c r="Z49" s="202">
        <v>0</v>
      </c>
      <c r="AA49" s="203">
        <f>5200000+13383951.13</f>
        <v>18583951.130000003</v>
      </c>
      <c r="AB49" s="203">
        <v>0</v>
      </c>
      <c r="AC49" s="29">
        <f t="shared" si="8"/>
        <v>18583951.130000003</v>
      </c>
      <c r="AD49" s="202" t="s">
        <v>155</v>
      </c>
      <c r="AE49" s="202" t="s">
        <v>70</v>
      </c>
      <c r="AF49" s="204">
        <v>0.5</v>
      </c>
      <c r="AG49" s="331">
        <v>0.25</v>
      </c>
      <c r="AH49" s="198">
        <f t="shared" si="9"/>
        <v>0.75</v>
      </c>
      <c r="AI49" s="203">
        <f>2230658.27+1117500+2230660+117300+1200000+ 406735.27</f>
        <v>7302853.5399999991</v>
      </c>
      <c r="AJ49" s="203">
        <f>2450000+1205000</f>
        <v>3655000</v>
      </c>
      <c r="AK49" s="207">
        <f t="shared" si="7"/>
        <v>10957853.539999999</v>
      </c>
      <c r="AL49" s="205">
        <v>11200000</v>
      </c>
      <c r="AM49" s="202"/>
      <c r="AN49" s="280" t="s">
        <v>192</v>
      </c>
      <c r="AO49" s="163"/>
      <c r="AP49" s="656"/>
    </row>
    <row r="50" spans="1:42" ht="37.15" customHeight="1" thickTop="1" x14ac:dyDescent="0.25">
      <c r="A50" s="82"/>
      <c r="B50" s="82"/>
      <c r="C50" s="82"/>
      <c r="D50" s="82"/>
      <c r="E50" s="82"/>
      <c r="F50" s="82"/>
      <c r="G50" s="82"/>
      <c r="H50" s="82"/>
      <c r="I50" s="82"/>
      <c r="J50" s="82"/>
      <c r="K50" s="82"/>
      <c r="L50" s="82"/>
      <c r="M50" s="82"/>
      <c r="N50" s="82"/>
      <c r="O50" s="80"/>
      <c r="P50" s="80"/>
      <c r="Q50" s="82"/>
      <c r="R50" s="82"/>
      <c r="S50" s="82"/>
      <c r="T50" s="82"/>
      <c r="U50" s="541" t="s">
        <v>193</v>
      </c>
      <c r="V50" s="542"/>
      <c r="W50" s="543"/>
      <c r="X50" s="16"/>
      <c r="Y50" s="16"/>
      <c r="Z50" s="16"/>
      <c r="AA50" s="35">
        <f>+AA39+AA36+AA33+AA31+AA28+AA24+AA22+AA20+AA18</f>
        <v>6438986518.5199986</v>
      </c>
      <c r="AB50" s="180">
        <f t="shared" ref="AB50:AE50" si="11">+AB39+AB36+AB33+AB31+AB28+AB24+AB22+AB20+AB18</f>
        <v>1376861578.4199998</v>
      </c>
      <c r="AC50" s="35">
        <f t="shared" si="11"/>
        <v>7815848096.9399996</v>
      </c>
      <c r="AD50" s="35"/>
      <c r="AE50" s="35">
        <f t="shared" si="11"/>
        <v>0</v>
      </c>
      <c r="AF50" s="35"/>
      <c r="AG50" s="332"/>
      <c r="AH50" s="35"/>
      <c r="AI50" s="173">
        <f>+AI18+AI20+AI24+AI28+AI31+AI33+AI36+AI39</f>
        <v>2697235676.3999996</v>
      </c>
      <c r="AJ50" s="173">
        <f>+AJ18+AJ20+AJ24+AJ28+AJ31+AJ33+AJ36+AJ39</f>
        <v>1850771315.02</v>
      </c>
      <c r="AK50" s="173">
        <f>+AK18+AK20+AK24+AK28+AK31+AK33+AK36+AK39</f>
        <v>4548006991.4200001</v>
      </c>
      <c r="AL50" s="35"/>
      <c r="AM50" s="35"/>
      <c r="AN50" s="16"/>
    </row>
    <row r="51" spans="1:42" s="22" customFormat="1" ht="66.75" customHeight="1" x14ac:dyDescent="0.25">
      <c r="O51" s="184"/>
      <c r="P51" s="184"/>
      <c r="Q51" s="184"/>
      <c r="R51" s="184"/>
      <c r="S51" s="184"/>
      <c r="T51" s="184"/>
      <c r="U51" s="184"/>
      <c r="V51" s="184"/>
      <c r="W51" s="184"/>
      <c r="X51" s="184"/>
      <c r="Y51" s="184"/>
      <c r="Z51" s="184"/>
      <c r="AA51" s="456">
        <f>+AC50-AK50</f>
        <v>3267841105.5199995</v>
      </c>
      <c r="AB51" s="457"/>
      <c r="AC51" s="184"/>
      <c r="AD51" s="184"/>
      <c r="AE51" s="184"/>
      <c r="AF51" s="184"/>
      <c r="AG51" s="458"/>
      <c r="AH51" s="184"/>
      <c r="AI51" s="465"/>
      <c r="AO51" s="184"/>
      <c r="AP51" s="665"/>
    </row>
    <row r="52" spans="1:42" s="22" customFormat="1" ht="66.75" customHeight="1" x14ac:dyDescent="0.25">
      <c r="O52" s="184"/>
      <c r="P52" s="184"/>
      <c r="Q52" s="184"/>
      <c r="R52" s="184"/>
      <c r="S52" s="184"/>
      <c r="T52" s="184"/>
      <c r="U52" s="184"/>
      <c r="V52" s="184"/>
      <c r="W52" s="184"/>
      <c r="X52" s="184"/>
      <c r="Y52" s="184"/>
      <c r="Z52" s="184"/>
      <c r="AA52" s="459">
        <f>+AB50*100</f>
        <v>137686157841.99997</v>
      </c>
      <c r="AB52" s="457"/>
      <c r="AC52" s="466">
        <f>7815848096.94-AC50</f>
        <v>0</v>
      </c>
      <c r="AD52" s="184"/>
      <c r="AE52" s="184"/>
      <c r="AF52" s="184"/>
      <c r="AG52" s="458"/>
      <c r="AH52" s="184"/>
      <c r="AO52" s="184"/>
      <c r="AP52" s="665"/>
    </row>
    <row r="53" spans="1:42" s="22" customFormat="1" ht="66.75" customHeight="1" x14ac:dyDescent="0.25">
      <c r="O53" s="184"/>
      <c r="P53" s="184"/>
      <c r="Q53" s="184"/>
      <c r="R53" s="184"/>
      <c r="S53" s="184"/>
      <c r="T53" s="184"/>
      <c r="U53" s="184"/>
      <c r="V53" s="184"/>
      <c r="W53" s="184"/>
      <c r="X53" s="184"/>
      <c r="Y53" s="184"/>
      <c r="Z53" s="184"/>
      <c r="AA53" s="456">
        <f>+AA52/AA50</f>
        <v>21.383203310953217</v>
      </c>
      <c r="AB53" s="457"/>
      <c r="AC53" s="184"/>
      <c r="AD53" s="184"/>
      <c r="AE53" s="184"/>
      <c r="AF53" s="184"/>
      <c r="AG53" s="458"/>
      <c r="AH53" s="184"/>
      <c r="AO53" s="184"/>
      <c r="AP53" s="665"/>
    </row>
    <row r="54" spans="1:42" s="22" customFormat="1" ht="57.75" customHeight="1" x14ac:dyDescent="0.25">
      <c r="O54" s="184"/>
      <c r="P54" s="184"/>
      <c r="Q54" s="184"/>
      <c r="R54" s="184"/>
      <c r="S54" s="184"/>
      <c r="T54" s="184"/>
      <c r="U54" s="184"/>
      <c r="V54" s="184"/>
      <c r="W54" s="184"/>
      <c r="X54" s="184"/>
      <c r="Y54" s="184"/>
      <c r="Z54" s="184"/>
      <c r="AA54" s="459"/>
      <c r="AB54" s="457"/>
      <c r="AC54" s="184"/>
      <c r="AD54" s="184"/>
      <c r="AE54" s="184"/>
      <c r="AF54" s="184"/>
      <c r="AG54" s="458"/>
      <c r="AH54" s="184"/>
      <c r="AO54" s="184"/>
      <c r="AP54" s="665"/>
    </row>
    <row r="55" spans="1:42" s="184" customFormat="1" ht="57.75" customHeight="1" thickBot="1" x14ac:dyDescent="0.3">
      <c r="A55" s="22"/>
      <c r="B55" s="22"/>
      <c r="C55" s="22"/>
      <c r="D55" s="22"/>
      <c r="E55" s="22"/>
      <c r="F55" s="22"/>
      <c r="G55" s="22"/>
      <c r="H55" s="22"/>
      <c r="I55" s="22"/>
      <c r="J55" s="22"/>
      <c r="K55" s="460"/>
      <c r="L55" s="22"/>
      <c r="M55" s="22"/>
      <c r="N55" s="22"/>
      <c r="AA55" s="459"/>
      <c r="AB55" s="457"/>
      <c r="AG55" s="458"/>
      <c r="AI55" s="22"/>
      <c r="AJ55" s="22"/>
      <c r="AK55" s="22"/>
      <c r="AL55" s="22"/>
      <c r="AM55" s="22"/>
      <c r="AN55" s="22"/>
      <c r="AP55" s="669"/>
    </row>
    <row r="56" spans="1:42" s="184" customFormat="1" ht="57.75" customHeight="1" thickTop="1" x14ac:dyDescent="0.25">
      <c r="A56" s="22"/>
      <c r="B56" s="22"/>
      <c r="C56" s="22"/>
      <c r="D56" s="22"/>
      <c r="E56" s="22"/>
      <c r="F56" s="22"/>
      <c r="G56" s="22"/>
      <c r="H56" s="22"/>
      <c r="I56" s="22"/>
      <c r="J56" s="22"/>
      <c r="K56" s="461"/>
      <c r="L56" s="22"/>
      <c r="M56" s="22"/>
      <c r="N56" s="22"/>
      <c r="AA56" s="459"/>
      <c r="AB56" s="457"/>
      <c r="AG56" s="458"/>
      <c r="AI56" s="22"/>
      <c r="AJ56" s="22"/>
      <c r="AK56" s="22"/>
      <c r="AL56" s="22"/>
      <c r="AM56" s="22"/>
      <c r="AN56" s="22"/>
      <c r="AP56" s="669"/>
    </row>
    <row r="57" spans="1:42" s="184" customFormat="1" ht="57.75" customHeight="1" x14ac:dyDescent="0.25">
      <c r="A57" s="22"/>
      <c r="B57" s="22"/>
      <c r="C57" s="22"/>
      <c r="D57" s="22"/>
      <c r="E57" s="22"/>
      <c r="F57" s="22"/>
      <c r="G57" s="22"/>
      <c r="H57" s="22"/>
      <c r="I57" s="22"/>
      <c r="J57" s="22"/>
      <c r="K57" s="462"/>
      <c r="L57" s="22"/>
      <c r="M57" s="22"/>
      <c r="N57" s="22"/>
      <c r="AA57" s="459"/>
      <c r="AB57" s="457"/>
      <c r="AG57" s="458"/>
      <c r="AI57" s="22"/>
      <c r="AJ57" s="22"/>
      <c r="AK57" s="22"/>
      <c r="AL57" s="22"/>
      <c r="AM57" s="22"/>
      <c r="AN57" s="22"/>
      <c r="AP57" s="669"/>
    </row>
    <row r="58" spans="1:42" s="184" customFormat="1" ht="57.75" customHeight="1" thickBot="1" x14ac:dyDescent="0.3">
      <c r="A58" s="22"/>
      <c r="B58" s="22"/>
      <c r="C58" s="22"/>
      <c r="D58" s="22"/>
      <c r="E58" s="22"/>
      <c r="F58" s="22"/>
      <c r="G58" s="22"/>
      <c r="H58" s="22"/>
      <c r="I58" s="22"/>
      <c r="J58" s="22"/>
      <c r="K58" s="462"/>
      <c r="L58" s="22"/>
      <c r="M58" s="22"/>
      <c r="N58" s="22"/>
      <c r="AA58" s="459"/>
      <c r="AB58" s="457"/>
      <c r="AG58" s="458"/>
      <c r="AI58" s="22"/>
      <c r="AJ58" s="22"/>
      <c r="AK58" s="22"/>
      <c r="AL58" s="22"/>
      <c r="AM58" s="22"/>
      <c r="AN58" s="22"/>
      <c r="AP58" s="669"/>
    </row>
    <row r="59" spans="1:42" s="184" customFormat="1" ht="15.75" thickBot="1" x14ac:dyDescent="0.3">
      <c r="A59" s="22"/>
      <c r="B59" s="22"/>
      <c r="C59" s="22"/>
      <c r="D59" s="22"/>
      <c r="E59" s="22"/>
      <c r="F59" s="22"/>
      <c r="G59" s="22"/>
      <c r="H59" s="22"/>
      <c r="I59" s="22"/>
      <c r="J59" s="22"/>
      <c r="K59" s="463"/>
      <c r="L59" s="22"/>
      <c r="M59" s="22"/>
      <c r="N59" s="22"/>
      <c r="AA59" s="459"/>
      <c r="AB59" s="457"/>
      <c r="AG59" s="458"/>
      <c r="AI59" s="22"/>
      <c r="AJ59" s="22"/>
      <c r="AK59" s="22"/>
      <c r="AL59" s="22"/>
      <c r="AM59" s="22"/>
      <c r="AN59" s="22"/>
      <c r="AP59" s="669"/>
    </row>
    <row r="60" spans="1:42" s="184" customFormat="1" x14ac:dyDescent="0.25">
      <c r="A60" s="22"/>
      <c r="B60" s="22"/>
      <c r="C60" s="22"/>
      <c r="D60" s="22"/>
      <c r="E60" s="22"/>
      <c r="F60" s="22"/>
      <c r="G60" s="22"/>
      <c r="H60" s="22"/>
      <c r="I60" s="22"/>
      <c r="J60" s="22"/>
      <c r="K60" s="22"/>
      <c r="L60" s="22"/>
      <c r="M60" s="22"/>
      <c r="N60" s="22"/>
      <c r="AA60" s="459"/>
      <c r="AB60" s="457"/>
      <c r="AG60" s="458"/>
      <c r="AI60" s="22"/>
      <c r="AJ60" s="22"/>
      <c r="AK60" s="22"/>
      <c r="AL60" s="22"/>
      <c r="AM60" s="22"/>
      <c r="AN60" s="22"/>
      <c r="AP60" s="669"/>
    </row>
    <row r="61" spans="1:42" s="184" customFormat="1" x14ac:dyDescent="0.25">
      <c r="A61" s="22"/>
      <c r="B61" s="22"/>
      <c r="C61" s="22"/>
      <c r="D61" s="22"/>
      <c r="E61" s="22"/>
      <c r="F61" s="22"/>
      <c r="G61" s="22"/>
      <c r="H61" s="22"/>
      <c r="I61" s="22"/>
      <c r="J61" s="22"/>
      <c r="K61" s="22"/>
      <c r="L61" s="22"/>
      <c r="M61" s="22"/>
      <c r="N61" s="22"/>
      <c r="AA61" s="459"/>
      <c r="AB61" s="457"/>
      <c r="AG61" s="458"/>
      <c r="AI61" s="22"/>
      <c r="AJ61" s="22"/>
      <c r="AK61" s="22"/>
      <c r="AL61" s="22"/>
      <c r="AM61" s="22"/>
      <c r="AN61" s="22"/>
      <c r="AP61" s="669"/>
    </row>
    <row r="62" spans="1:42" s="184" customFormat="1" x14ac:dyDescent="0.25">
      <c r="A62" s="22"/>
      <c r="B62" s="22"/>
      <c r="C62" s="22"/>
      <c r="D62" s="22"/>
      <c r="E62" s="22"/>
      <c r="F62" s="22"/>
      <c r="G62" s="22"/>
      <c r="H62" s="22"/>
      <c r="I62" s="22"/>
      <c r="J62" s="22"/>
      <c r="K62" s="22"/>
      <c r="L62" s="22"/>
      <c r="M62" s="22"/>
      <c r="N62" s="22"/>
      <c r="AA62" s="459"/>
      <c r="AB62" s="457"/>
      <c r="AG62" s="458"/>
      <c r="AI62" s="22"/>
      <c r="AJ62" s="22"/>
      <c r="AK62" s="22"/>
      <c r="AL62" s="22"/>
      <c r="AM62" s="22"/>
      <c r="AN62" s="22"/>
      <c r="AP62" s="669"/>
    </row>
    <row r="63" spans="1:42" s="184" customFormat="1" x14ac:dyDescent="0.25">
      <c r="A63" s="22"/>
      <c r="B63" s="22"/>
      <c r="C63" s="22"/>
      <c r="D63" s="22"/>
      <c r="E63" s="22"/>
      <c r="F63" s="22"/>
      <c r="G63" s="22"/>
      <c r="H63" s="22"/>
      <c r="I63" s="22"/>
      <c r="J63" s="22"/>
      <c r="K63" s="22"/>
      <c r="L63" s="22"/>
      <c r="M63" s="22"/>
      <c r="N63" s="22"/>
      <c r="AA63" s="459"/>
      <c r="AB63" s="457"/>
      <c r="AG63" s="458"/>
      <c r="AI63" s="22"/>
      <c r="AJ63" s="22"/>
      <c r="AK63" s="22"/>
      <c r="AL63" s="22"/>
      <c r="AM63" s="22"/>
      <c r="AN63" s="22"/>
      <c r="AP63" s="669"/>
    </row>
    <row r="64" spans="1:42" s="184" customFormat="1" x14ac:dyDescent="0.25">
      <c r="A64" s="22"/>
      <c r="B64" s="22"/>
      <c r="C64" s="22"/>
      <c r="D64" s="22"/>
      <c r="E64" s="22"/>
      <c r="F64" s="22"/>
      <c r="G64" s="22"/>
      <c r="H64" s="22"/>
      <c r="I64" s="22"/>
      <c r="J64" s="22"/>
      <c r="K64" s="22"/>
      <c r="L64" s="22"/>
      <c r="M64" s="22"/>
      <c r="N64" s="22"/>
      <c r="AA64" s="459"/>
      <c r="AB64" s="457"/>
      <c r="AG64" s="458"/>
      <c r="AI64" s="22"/>
      <c r="AJ64" s="22"/>
      <c r="AK64" s="22"/>
      <c r="AL64" s="22"/>
      <c r="AM64" s="22"/>
      <c r="AN64" s="22"/>
      <c r="AP64" s="669"/>
    </row>
    <row r="65" spans="1:42" s="184" customFormat="1" x14ac:dyDescent="0.25">
      <c r="A65" s="22"/>
      <c r="B65" s="22"/>
      <c r="C65" s="22"/>
      <c r="D65" s="22"/>
      <c r="E65" s="22"/>
      <c r="F65" s="22"/>
      <c r="G65" s="22"/>
      <c r="H65" s="22"/>
      <c r="I65" s="22"/>
      <c r="J65" s="22"/>
      <c r="K65" s="22"/>
      <c r="L65" s="22"/>
      <c r="M65" s="22"/>
      <c r="N65" s="22"/>
      <c r="AA65" s="459"/>
      <c r="AB65" s="457"/>
      <c r="AG65" s="458"/>
      <c r="AI65" s="22"/>
      <c r="AJ65" s="22"/>
      <c r="AK65" s="22"/>
      <c r="AL65" s="22"/>
      <c r="AM65" s="22"/>
      <c r="AN65" s="22"/>
      <c r="AP65" s="669"/>
    </row>
    <row r="66" spans="1:42" s="184" customFormat="1" x14ac:dyDescent="0.25">
      <c r="A66" s="22"/>
      <c r="B66" s="22"/>
      <c r="C66" s="22"/>
      <c r="D66" s="22"/>
      <c r="E66" s="22"/>
      <c r="F66" s="22"/>
      <c r="G66" s="22"/>
      <c r="H66" s="22"/>
      <c r="I66" s="22"/>
      <c r="J66" s="22"/>
      <c r="K66" s="22"/>
      <c r="L66" s="22"/>
      <c r="M66" s="22"/>
      <c r="N66" s="22"/>
      <c r="AA66" s="459"/>
      <c r="AB66" s="457"/>
      <c r="AG66" s="458"/>
      <c r="AI66" s="22"/>
      <c r="AJ66" s="22"/>
      <c r="AK66" s="22"/>
      <c r="AL66" s="22"/>
      <c r="AM66" s="22"/>
      <c r="AN66" s="22"/>
      <c r="AP66" s="669"/>
    </row>
    <row r="67" spans="1:42" s="184" customFormat="1" x14ac:dyDescent="0.25">
      <c r="A67" s="22"/>
      <c r="B67" s="22"/>
      <c r="C67" s="22"/>
      <c r="D67" s="22"/>
      <c r="E67" s="22"/>
      <c r="F67" s="22"/>
      <c r="G67" s="22"/>
      <c r="H67" s="22"/>
      <c r="I67" s="22"/>
      <c r="J67" s="22"/>
      <c r="K67" s="22"/>
      <c r="L67" s="22"/>
      <c r="M67" s="22"/>
      <c r="N67" s="22"/>
      <c r="AA67" s="459"/>
      <c r="AB67" s="457"/>
      <c r="AG67" s="458"/>
      <c r="AI67" s="22"/>
      <c r="AJ67" s="22"/>
      <c r="AK67" s="22"/>
      <c r="AL67" s="22"/>
      <c r="AM67" s="22"/>
      <c r="AN67" s="22"/>
      <c r="AP67" s="669"/>
    </row>
    <row r="68" spans="1:42" s="184" customFormat="1" x14ac:dyDescent="0.25">
      <c r="A68" s="22"/>
      <c r="B68" s="22"/>
      <c r="C68" s="22"/>
      <c r="D68" s="22"/>
      <c r="E68" s="22"/>
      <c r="F68" s="22"/>
      <c r="G68" s="22"/>
      <c r="H68" s="22"/>
      <c r="I68" s="22"/>
      <c r="J68" s="22"/>
      <c r="K68" s="22"/>
      <c r="L68" s="22"/>
      <c r="M68" s="22"/>
      <c r="N68" s="464"/>
      <c r="AA68" s="459"/>
      <c r="AB68" s="457"/>
      <c r="AG68" s="458"/>
      <c r="AI68" s="22"/>
      <c r="AJ68" s="22"/>
      <c r="AK68" s="22"/>
      <c r="AL68" s="22"/>
      <c r="AM68" s="22"/>
      <c r="AN68" s="22"/>
      <c r="AP68" s="669"/>
    </row>
    <row r="69" spans="1:42" s="184" customFormat="1" x14ac:dyDescent="0.25">
      <c r="A69" s="22"/>
      <c r="B69" s="22"/>
      <c r="C69" s="22"/>
      <c r="D69" s="22"/>
      <c r="E69" s="22"/>
      <c r="F69" s="22"/>
      <c r="G69" s="22"/>
      <c r="H69" s="22"/>
      <c r="I69" s="22"/>
      <c r="J69" s="22"/>
      <c r="K69" s="22"/>
      <c r="L69" s="22"/>
      <c r="M69" s="22"/>
      <c r="N69" s="464"/>
      <c r="AA69" s="459"/>
      <c r="AB69" s="457"/>
      <c r="AG69" s="458"/>
      <c r="AI69" s="22"/>
      <c r="AJ69" s="22"/>
      <c r="AK69" s="22"/>
      <c r="AL69" s="22"/>
      <c r="AM69" s="22"/>
      <c r="AN69" s="22"/>
      <c r="AP69" s="669"/>
    </row>
    <row r="70" spans="1:42" s="184" customFormat="1" x14ac:dyDescent="0.25">
      <c r="A70" s="22"/>
      <c r="B70" s="22"/>
      <c r="C70" s="22"/>
      <c r="D70" s="22"/>
      <c r="E70" s="22"/>
      <c r="F70" s="22"/>
      <c r="G70" s="22"/>
      <c r="H70" s="22"/>
      <c r="I70" s="22"/>
      <c r="J70" s="22"/>
      <c r="K70" s="22"/>
      <c r="L70" s="22"/>
      <c r="M70" s="22"/>
      <c r="N70" s="464"/>
      <c r="AA70" s="459"/>
      <c r="AB70" s="457"/>
      <c r="AG70" s="458"/>
      <c r="AI70" s="22"/>
      <c r="AJ70" s="22"/>
      <c r="AK70" s="22"/>
      <c r="AL70" s="22"/>
      <c r="AM70" s="22"/>
      <c r="AN70" s="22"/>
      <c r="AP70" s="669"/>
    </row>
    <row r="71" spans="1:42" s="184" customFormat="1" x14ac:dyDescent="0.25">
      <c r="A71" s="22"/>
      <c r="B71" s="22"/>
      <c r="C71" s="22"/>
      <c r="D71" s="22"/>
      <c r="E71" s="22"/>
      <c r="F71" s="22"/>
      <c r="G71" s="22"/>
      <c r="H71" s="22"/>
      <c r="I71" s="22"/>
      <c r="J71" s="22"/>
      <c r="K71" s="22"/>
      <c r="L71" s="22"/>
      <c r="M71" s="22"/>
      <c r="N71" s="464"/>
      <c r="AA71" s="459"/>
      <c r="AB71" s="457"/>
      <c r="AG71" s="458"/>
      <c r="AI71" s="22"/>
      <c r="AJ71" s="22"/>
      <c r="AK71" s="22"/>
      <c r="AL71" s="22"/>
      <c r="AM71" s="22"/>
      <c r="AN71" s="22"/>
      <c r="AP71" s="669"/>
    </row>
    <row r="72" spans="1:42" s="184" customFormat="1" x14ac:dyDescent="0.25">
      <c r="A72" s="22"/>
      <c r="B72" s="22"/>
      <c r="C72" s="22"/>
      <c r="D72" s="22"/>
      <c r="E72" s="22"/>
      <c r="F72" s="22"/>
      <c r="G72" s="22"/>
      <c r="H72" s="22"/>
      <c r="I72" s="22"/>
      <c r="J72" s="22"/>
      <c r="K72" s="22"/>
      <c r="L72" s="22"/>
      <c r="M72" s="22"/>
      <c r="N72" s="464"/>
      <c r="AA72" s="459"/>
      <c r="AB72" s="457"/>
      <c r="AG72" s="458"/>
      <c r="AI72" s="22"/>
      <c r="AJ72" s="22"/>
      <c r="AK72" s="22"/>
      <c r="AL72" s="22"/>
      <c r="AM72" s="22"/>
      <c r="AN72" s="22"/>
      <c r="AP72" s="669"/>
    </row>
    <row r="73" spans="1:42" s="184" customFormat="1" x14ac:dyDescent="0.25">
      <c r="A73" s="22"/>
      <c r="B73" s="22"/>
      <c r="C73" s="22"/>
      <c r="D73" s="22"/>
      <c r="E73" s="22"/>
      <c r="F73" s="22"/>
      <c r="G73" s="22"/>
      <c r="H73" s="22"/>
      <c r="I73" s="22"/>
      <c r="J73" s="22"/>
      <c r="K73" s="22"/>
      <c r="L73" s="22"/>
      <c r="M73" s="22"/>
      <c r="N73" s="464"/>
      <c r="AA73" s="459"/>
      <c r="AB73" s="457"/>
      <c r="AG73" s="458"/>
      <c r="AI73" s="22"/>
      <c r="AJ73" s="22"/>
      <c r="AK73" s="22"/>
      <c r="AL73" s="22"/>
      <c r="AM73" s="22"/>
      <c r="AN73" s="22"/>
      <c r="AP73" s="669"/>
    </row>
    <row r="74" spans="1:42" s="184" customFormat="1" x14ac:dyDescent="0.25">
      <c r="A74" s="22"/>
      <c r="B74" s="22"/>
      <c r="C74" s="22"/>
      <c r="D74" s="22"/>
      <c r="E74" s="22"/>
      <c r="F74" s="22"/>
      <c r="G74" s="22"/>
      <c r="H74" s="22"/>
      <c r="I74" s="22"/>
      <c r="J74" s="22"/>
      <c r="K74" s="22"/>
      <c r="L74" s="22"/>
      <c r="M74" s="22"/>
      <c r="N74" s="464"/>
      <c r="AA74" s="459"/>
      <c r="AB74" s="457"/>
      <c r="AG74" s="458"/>
      <c r="AI74" s="22"/>
      <c r="AJ74" s="22"/>
      <c r="AK74" s="22"/>
      <c r="AL74" s="22"/>
      <c r="AM74" s="22"/>
      <c r="AN74" s="22"/>
      <c r="AP74" s="669"/>
    </row>
    <row r="75" spans="1:42" s="184" customFormat="1" x14ac:dyDescent="0.25">
      <c r="A75" s="22"/>
      <c r="B75" s="22"/>
      <c r="C75" s="22"/>
      <c r="D75" s="22"/>
      <c r="E75" s="22"/>
      <c r="F75" s="22"/>
      <c r="G75" s="22"/>
      <c r="H75" s="22"/>
      <c r="I75" s="22"/>
      <c r="J75" s="22"/>
      <c r="K75" s="22"/>
      <c r="L75" s="22"/>
      <c r="M75" s="22"/>
      <c r="N75" s="464"/>
      <c r="AA75" s="459"/>
      <c r="AB75" s="457"/>
      <c r="AG75" s="458"/>
      <c r="AI75" s="22"/>
      <c r="AJ75" s="22"/>
      <c r="AK75" s="22"/>
      <c r="AL75" s="22"/>
      <c r="AM75" s="22"/>
      <c r="AN75" s="22"/>
      <c r="AP75" s="669"/>
    </row>
    <row r="76" spans="1:42" s="184" customFormat="1" x14ac:dyDescent="0.25">
      <c r="A76" s="22"/>
      <c r="B76" s="22"/>
      <c r="C76" s="22"/>
      <c r="D76" s="22"/>
      <c r="E76" s="22"/>
      <c r="F76" s="22"/>
      <c r="G76" s="22"/>
      <c r="H76" s="22"/>
      <c r="I76" s="22"/>
      <c r="J76" s="22"/>
      <c r="K76" s="22"/>
      <c r="L76" s="22"/>
      <c r="M76" s="22"/>
      <c r="N76" s="464"/>
      <c r="AA76" s="459"/>
      <c r="AB76" s="457"/>
      <c r="AG76" s="458"/>
      <c r="AI76" s="22"/>
      <c r="AJ76" s="22"/>
      <c r="AK76" s="22"/>
      <c r="AL76" s="22"/>
      <c r="AM76" s="22"/>
      <c r="AN76" s="22"/>
      <c r="AP76" s="669"/>
    </row>
    <row r="77" spans="1:42" s="184" customFormat="1" x14ac:dyDescent="0.25">
      <c r="A77" s="22"/>
      <c r="B77" s="22"/>
      <c r="C77" s="22"/>
      <c r="D77" s="22"/>
      <c r="E77" s="22"/>
      <c r="F77" s="22"/>
      <c r="G77" s="22"/>
      <c r="H77" s="22"/>
      <c r="I77" s="22"/>
      <c r="J77" s="22"/>
      <c r="K77" s="22"/>
      <c r="L77" s="22"/>
      <c r="M77" s="22"/>
      <c r="N77" s="464"/>
      <c r="AA77" s="459"/>
      <c r="AB77" s="457"/>
      <c r="AG77" s="458"/>
      <c r="AI77" s="22"/>
      <c r="AJ77" s="22"/>
      <c r="AK77" s="22"/>
      <c r="AL77" s="22"/>
      <c r="AM77" s="22"/>
      <c r="AN77" s="22"/>
      <c r="AP77" s="669"/>
    </row>
    <row r="78" spans="1:42" s="184" customFormat="1" x14ac:dyDescent="0.25">
      <c r="A78" s="22"/>
      <c r="B78" s="22"/>
      <c r="C78" s="22"/>
      <c r="D78" s="22"/>
      <c r="E78" s="22"/>
      <c r="F78" s="22"/>
      <c r="G78" s="22"/>
      <c r="H78" s="22"/>
      <c r="I78" s="22"/>
      <c r="J78" s="22"/>
      <c r="K78" s="22"/>
      <c r="L78" s="22"/>
      <c r="M78" s="22"/>
      <c r="N78" s="464"/>
      <c r="AA78" s="459"/>
      <c r="AB78" s="457"/>
      <c r="AG78" s="458"/>
      <c r="AI78" s="22"/>
      <c r="AJ78" s="22"/>
      <c r="AK78" s="22"/>
      <c r="AL78" s="22"/>
      <c r="AM78" s="22"/>
      <c r="AN78" s="22"/>
      <c r="AP78" s="669"/>
    </row>
    <row r="79" spans="1:42" s="184" customFormat="1" x14ac:dyDescent="0.25">
      <c r="A79" s="22"/>
      <c r="B79" s="22"/>
      <c r="C79" s="22"/>
      <c r="D79" s="22"/>
      <c r="E79" s="22"/>
      <c r="F79" s="22"/>
      <c r="G79" s="22"/>
      <c r="H79" s="22"/>
      <c r="I79" s="22"/>
      <c r="J79" s="22"/>
      <c r="K79" s="22"/>
      <c r="L79" s="22"/>
      <c r="M79" s="22"/>
      <c r="N79" s="464"/>
      <c r="AA79" s="459"/>
      <c r="AB79" s="457"/>
      <c r="AG79" s="458"/>
      <c r="AI79" s="22"/>
      <c r="AJ79" s="22"/>
      <c r="AK79" s="22"/>
      <c r="AL79" s="22"/>
      <c r="AM79" s="22"/>
      <c r="AN79" s="22"/>
      <c r="AP79" s="669"/>
    </row>
    <row r="80" spans="1:42" s="184" customFormat="1" x14ac:dyDescent="0.25">
      <c r="A80" s="22"/>
      <c r="B80" s="22"/>
      <c r="C80" s="22"/>
      <c r="D80" s="22"/>
      <c r="E80" s="22"/>
      <c r="F80" s="22"/>
      <c r="G80" s="22"/>
      <c r="H80" s="22"/>
      <c r="I80" s="22"/>
      <c r="J80" s="22"/>
      <c r="K80" s="22"/>
      <c r="L80" s="22"/>
      <c r="M80" s="22"/>
      <c r="N80" s="464"/>
      <c r="AA80" s="459"/>
      <c r="AB80" s="457"/>
      <c r="AG80" s="458"/>
      <c r="AI80" s="22"/>
      <c r="AJ80" s="22"/>
      <c r="AK80" s="22"/>
      <c r="AL80" s="22"/>
      <c r="AM80" s="22"/>
      <c r="AN80" s="22"/>
      <c r="AP80" s="669"/>
    </row>
    <row r="81" spans="1:42" s="184" customFormat="1" x14ac:dyDescent="0.25">
      <c r="A81" s="22"/>
      <c r="B81" s="22"/>
      <c r="C81" s="22"/>
      <c r="D81" s="22"/>
      <c r="E81" s="22"/>
      <c r="F81" s="22"/>
      <c r="G81" s="22"/>
      <c r="H81" s="22"/>
      <c r="I81" s="22"/>
      <c r="J81" s="22"/>
      <c r="K81" s="22"/>
      <c r="L81" s="22"/>
      <c r="M81" s="22"/>
      <c r="N81" s="464"/>
      <c r="AA81" s="459"/>
      <c r="AB81" s="457"/>
      <c r="AG81" s="458"/>
      <c r="AI81" s="22"/>
      <c r="AJ81" s="22"/>
      <c r="AK81" s="22"/>
      <c r="AL81" s="22"/>
      <c r="AM81" s="22"/>
      <c r="AN81" s="22"/>
      <c r="AP81" s="669"/>
    </row>
    <row r="82" spans="1:42" s="184" customFormat="1" x14ac:dyDescent="0.25">
      <c r="A82" s="22"/>
      <c r="B82" s="22"/>
      <c r="C82" s="22"/>
      <c r="D82" s="22"/>
      <c r="E82" s="22"/>
      <c r="F82" s="22"/>
      <c r="G82" s="22"/>
      <c r="H82" s="22"/>
      <c r="I82" s="22"/>
      <c r="J82" s="22"/>
      <c r="K82" s="22"/>
      <c r="L82" s="22"/>
      <c r="M82" s="22"/>
      <c r="N82" s="464"/>
      <c r="AA82" s="459"/>
      <c r="AB82" s="457"/>
      <c r="AG82" s="458"/>
      <c r="AI82" s="22"/>
      <c r="AJ82" s="22"/>
      <c r="AK82" s="22"/>
      <c r="AL82" s="22"/>
      <c r="AM82" s="22"/>
      <c r="AN82" s="22"/>
      <c r="AP82" s="669"/>
    </row>
    <row r="83" spans="1:42" s="184" customFormat="1" x14ac:dyDescent="0.25">
      <c r="A83" s="22"/>
      <c r="B83" s="22"/>
      <c r="C83" s="22"/>
      <c r="D83" s="22"/>
      <c r="E83" s="22"/>
      <c r="F83" s="22"/>
      <c r="G83" s="22"/>
      <c r="H83" s="22"/>
      <c r="I83" s="22"/>
      <c r="J83" s="22"/>
      <c r="K83" s="22"/>
      <c r="L83" s="22"/>
      <c r="M83" s="22"/>
      <c r="N83" s="464"/>
      <c r="AA83" s="459"/>
      <c r="AB83" s="457"/>
      <c r="AG83" s="458"/>
      <c r="AI83" s="22"/>
      <c r="AJ83" s="22"/>
      <c r="AK83" s="22"/>
      <c r="AL83" s="22"/>
      <c r="AM83" s="22"/>
      <c r="AN83" s="22"/>
      <c r="AP83" s="669"/>
    </row>
    <row r="84" spans="1:42" s="184" customFormat="1" x14ac:dyDescent="0.25">
      <c r="A84" s="22"/>
      <c r="B84" s="22"/>
      <c r="C84" s="22"/>
      <c r="D84" s="22"/>
      <c r="E84" s="22"/>
      <c r="F84" s="22"/>
      <c r="G84" s="22"/>
      <c r="H84" s="22"/>
      <c r="I84" s="22"/>
      <c r="J84" s="22"/>
      <c r="K84" s="22"/>
      <c r="L84" s="22"/>
      <c r="M84" s="22"/>
      <c r="N84" s="464"/>
      <c r="AA84" s="459"/>
      <c r="AB84" s="457"/>
      <c r="AG84" s="458"/>
      <c r="AI84" s="22"/>
      <c r="AJ84" s="22"/>
      <c r="AK84" s="22"/>
      <c r="AL84" s="22"/>
      <c r="AM84" s="22"/>
      <c r="AN84" s="22"/>
      <c r="AP84" s="669"/>
    </row>
    <row r="85" spans="1:42" s="184" customFormat="1" x14ac:dyDescent="0.25">
      <c r="A85" s="22"/>
      <c r="B85" s="22"/>
      <c r="C85" s="22"/>
      <c r="D85" s="22"/>
      <c r="E85" s="22"/>
      <c r="F85" s="22"/>
      <c r="G85" s="22"/>
      <c r="H85" s="22"/>
      <c r="I85" s="22"/>
      <c r="J85" s="22"/>
      <c r="K85" s="22"/>
      <c r="L85" s="22"/>
      <c r="M85" s="22"/>
      <c r="N85" s="464"/>
      <c r="AA85" s="459"/>
      <c r="AB85" s="457"/>
      <c r="AG85" s="458"/>
      <c r="AI85" s="22"/>
      <c r="AJ85" s="22"/>
      <c r="AK85" s="22"/>
      <c r="AL85" s="22"/>
      <c r="AM85" s="22"/>
      <c r="AN85" s="22"/>
      <c r="AP85" s="669"/>
    </row>
    <row r="86" spans="1:42" s="184" customFormat="1" x14ac:dyDescent="0.25">
      <c r="A86" s="22"/>
      <c r="B86" s="22"/>
      <c r="C86" s="22"/>
      <c r="D86" s="22"/>
      <c r="E86" s="22"/>
      <c r="F86" s="22"/>
      <c r="G86" s="22"/>
      <c r="H86" s="22"/>
      <c r="I86" s="22"/>
      <c r="J86" s="22"/>
      <c r="K86" s="22"/>
      <c r="L86" s="22"/>
      <c r="M86" s="22"/>
      <c r="N86" s="464"/>
      <c r="AA86" s="459"/>
      <c r="AB86" s="457"/>
      <c r="AG86" s="458"/>
      <c r="AI86" s="22"/>
      <c r="AJ86" s="22"/>
      <c r="AK86" s="22"/>
      <c r="AL86" s="22"/>
      <c r="AM86" s="22"/>
      <c r="AN86" s="22"/>
      <c r="AP86" s="669"/>
    </row>
    <row r="87" spans="1:42" s="184" customFormat="1" x14ac:dyDescent="0.25">
      <c r="A87" s="22"/>
      <c r="B87" s="22"/>
      <c r="C87" s="22"/>
      <c r="D87" s="22"/>
      <c r="E87" s="22"/>
      <c r="F87" s="22"/>
      <c r="G87" s="22"/>
      <c r="H87" s="22"/>
      <c r="I87" s="22"/>
      <c r="J87" s="22"/>
      <c r="K87" s="22"/>
      <c r="L87" s="22"/>
      <c r="M87" s="22"/>
      <c r="N87" s="464"/>
      <c r="AA87" s="459"/>
      <c r="AB87" s="457"/>
      <c r="AG87" s="458"/>
      <c r="AI87" s="22"/>
      <c r="AJ87" s="22"/>
      <c r="AK87" s="22"/>
      <c r="AL87" s="22"/>
      <c r="AM87" s="22"/>
      <c r="AN87" s="22"/>
      <c r="AP87" s="669"/>
    </row>
    <row r="88" spans="1:42" s="184" customFormat="1" x14ac:dyDescent="0.25">
      <c r="A88" s="22"/>
      <c r="B88" s="22"/>
      <c r="C88" s="22"/>
      <c r="D88" s="22"/>
      <c r="E88" s="22"/>
      <c r="F88" s="22"/>
      <c r="G88" s="22"/>
      <c r="H88" s="22"/>
      <c r="I88" s="22"/>
      <c r="J88" s="22"/>
      <c r="K88" s="22"/>
      <c r="L88" s="22"/>
      <c r="M88" s="22"/>
      <c r="N88" s="464"/>
      <c r="AA88" s="459"/>
      <c r="AB88" s="457"/>
      <c r="AG88" s="458"/>
      <c r="AI88" s="22"/>
      <c r="AJ88" s="22"/>
      <c r="AK88" s="22"/>
      <c r="AL88" s="22"/>
      <c r="AM88" s="22"/>
      <c r="AN88" s="22"/>
      <c r="AP88" s="669"/>
    </row>
    <row r="89" spans="1:42" s="184" customFormat="1" x14ac:dyDescent="0.25">
      <c r="A89" s="22"/>
      <c r="B89" s="22"/>
      <c r="C89" s="22"/>
      <c r="D89" s="22"/>
      <c r="E89" s="22"/>
      <c r="F89" s="22"/>
      <c r="G89" s="22"/>
      <c r="H89" s="22"/>
      <c r="I89" s="22"/>
      <c r="J89" s="22"/>
      <c r="K89" s="22"/>
      <c r="L89" s="22"/>
      <c r="M89" s="22"/>
      <c r="N89" s="464"/>
      <c r="AA89" s="459"/>
      <c r="AB89" s="457"/>
      <c r="AG89" s="458"/>
      <c r="AI89" s="22"/>
      <c r="AJ89" s="22"/>
      <c r="AK89" s="22"/>
      <c r="AL89" s="22"/>
      <c r="AM89" s="22"/>
      <c r="AN89" s="22"/>
      <c r="AP89" s="669"/>
    </row>
    <row r="90" spans="1:42" s="184" customFormat="1" x14ac:dyDescent="0.25">
      <c r="A90" s="22"/>
      <c r="B90" s="22"/>
      <c r="C90" s="22"/>
      <c r="D90" s="22"/>
      <c r="E90" s="22"/>
      <c r="F90" s="22"/>
      <c r="G90" s="22"/>
      <c r="H90" s="22"/>
      <c r="I90" s="22"/>
      <c r="J90" s="22"/>
      <c r="K90" s="22"/>
      <c r="L90" s="22"/>
      <c r="M90" s="22"/>
      <c r="N90" s="464"/>
      <c r="AA90" s="459"/>
      <c r="AB90" s="457"/>
      <c r="AG90" s="458"/>
      <c r="AI90" s="22"/>
      <c r="AJ90" s="22"/>
      <c r="AK90" s="22"/>
      <c r="AL90" s="22"/>
      <c r="AM90" s="22"/>
      <c r="AN90" s="22"/>
      <c r="AP90" s="669"/>
    </row>
    <row r="91" spans="1:42" s="184" customFormat="1" x14ac:dyDescent="0.25">
      <c r="A91" s="22"/>
      <c r="B91" s="22"/>
      <c r="C91" s="22"/>
      <c r="D91" s="22"/>
      <c r="E91" s="22"/>
      <c r="F91" s="22"/>
      <c r="G91" s="22"/>
      <c r="H91" s="22"/>
      <c r="I91" s="22"/>
      <c r="J91" s="22"/>
      <c r="K91" s="22"/>
      <c r="L91" s="22"/>
      <c r="M91" s="22"/>
      <c r="N91" s="464"/>
      <c r="AA91" s="459"/>
      <c r="AB91" s="457"/>
      <c r="AG91" s="458"/>
      <c r="AI91" s="22"/>
      <c r="AJ91" s="22"/>
      <c r="AK91" s="22"/>
      <c r="AL91" s="22"/>
      <c r="AM91" s="22"/>
      <c r="AN91" s="22"/>
      <c r="AP91" s="669"/>
    </row>
    <row r="92" spans="1:42" s="184" customFormat="1" x14ac:dyDescent="0.25">
      <c r="A92" s="22"/>
      <c r="B92" s="22"/>
      <c r="C92" s="22"/>
      <c r="D92" s="22"/>
      <c r="E92" s="22"/>
      <c r="F92" s="22"/>
      <c r="G92" s="22"/>
      <c r="H92" s="22"/>
      <c r="I92" s="22"/>
      <c r="J92" s="22"/>
      <c r="K92" s="22"/>
      <c r="L92" s="22"/>
      <c r="M92" s="22"/>
      <c r="N92" s="464"/>
      <c r="AA92" s="459"/>
      <c r="AB92" s="457"/>
      <c r="AG92" s="458"/>
      <c r="AI92" s="22"/>
      <c r="AJ92" s="22"/>
      <c r="AK92" s="22"/>
      <c r="AL92" s="22"/>
      <c r="AM92" s="22"/>
      <c r="AN92" s="22"/>
      <c r="AP92" s="669"/>
    </row>
    <row r="93" spans="1:42" s="184" customFormat="1" x14ac:dyDescent="0.25">
      <c r="A93" s="22"/>
      <c r="B93" s="22"/>
      <c r="C93" s="22"/>
      <c r="D93" s="22"/>
      <c r="E93" s="22"/>
      <c r="F93" s="22"/>
      <c r="G93" s="22"/>
      <c r="H93" s="22"/>
      <c r="I93" s="22"/>
      <c r="J93" s="22"/>
      <c r="K93" s="22"/>
      <c r="L93" s="22"/>
      <c r="M93" s="22"/>
      <c r="N93" s="464"/>
      <c r="AA93" s="459"/>
      <c r="AB93" s="457"/>
      <c r="AG93" s="458"/>
      <c r="AI93" s="22"/>
      <c r="AJ93" s="22"/>
      <c r="AK93" s="22"/>
      <c r="AL93" s="22"/>
      <c r="AM93" s="22"/>
      <c r="AN93" s="22"/>
      <c r="AP93" s="669"/>
    </row>
    <row r="94" spans="1:42" s="22" customFormat="1" x14ac:dyDescent="0.25">
      <c r="O94" s="184"/>
      <c r="P94" s="184"/>
      <c r="Q94" s="184"/>
      <c r="R94" s="184"/>
      <c r="S94" s="184"/>
      <c r="T94" s="184"/>
      <c r="U94" s="184"/>
      <c r="V94" s="184"/>
      <c r="W94" s="184"/>
      <c r="X94" s="184"/>
      <c r="Y94" s="184"/>
      <c r="Z94" s="184"/>
      <c r="AA94" s="459"/>
      <c r="AB94" s="457"/>
      <c r="AC94" s="184"/>
      <c r="AD94" s="184"/>
      <c r="AE94" s="184"/>
      <c r="AF94" s="184"/>
      <c r="AG94" s="458"/>
      <c r="AH94" s="184"/>
      <c r="AO94" s="184"/>
      <c r="AP94" s="665"/>
    </row>
    <row r="95" spans="1:42" s="22" customFormat="1" x14ac:dyDescent="0.25">
      <c r="O95" s="184"/>
      <c r="P95" s="184"/>
      <c r="Q95" s="184"/>
      <c r="R95" s="184"/>
      <c r="S95" s="184"/>
      <c r="T95" s="184"/>
      <c r="U95" s="184"/>
      <c r="V95" s="184"/>
      <c r="W95" s="184"/>
      <c r="X95" s="184"/>
      <c r="Y95" s="184"/>
      <c r="Z95" s="184"/>
      <c r="AA95" s="459"/>
      <c r="AB95" s="457"/>
      <c r="AC95" s="184"/>
      <c r="AD95" s="184"/>
      <c r="AE95" s="184"/>
      <c r="AF95" s="184"/>
      <c r="AG95" s="458"/>
      <c r="AH95" s="184"/>
      <c r="AO95" s="184"/>
      <c r="AP95" s="665"/>
    </row>
    <row r="96" spans="1:42" s="22" customFormat="1" x14ac:dyDescent="0.25">
      <c r="O96" s="184"/>
      <c r="P96" s="184"/>
      <c r="Q96" s="184"/>
      <c r="R96" s="184"/>
      <c r="S96" s="184"/>
      <c r="T96" s="184"/>
      <c r="U96" s="184"/>
      <c r="V96" s="184"/>
      <c r="W96" s="184"/>
      <c r="X96" s="184"/>
      <c r="Y96" s="184"/>
      <c r="Z96" s="184"/>
      <c r="AA96" s="459"/>
      <c r="AB96" s="457"/>
      <c r="AC96" s="184"/>
      <c r="AD96" s="184"/>
      <c r="AE96" s="184"/>
      <c r="AF96" s="184"/>
      <c r="AG96" s="458"/>
      <c r="AH96" s="184"/>
      <c r="AO96" s="184"/>
      <c r="AP96" s="665"/>
    </row>
    <row r="97" spans="15:42" s="22" customFormat="1" x14ac:dyDescent="0.25">
      <c r="O97" s="184"/>
      <c r="P97" s="184"/>
      <c r="Q97" s="184"/>
      <c r="R97" s="184"/>
      <c r="S97" s="184"/>
      <c r="T97" s="184"/>
      <c r="U97" s="184"/>
      <c r="V97" s="184"/>
      <c r="W97" s="184"/>
      <c r="X97" s="184"/>
      <c r="Y97" s="184"/>
      <c r="Z97" s="184"/>
      <c r="AA97" s="459"/>
      <c r="AB97" s="457"/>
      <c r="AC97" s="184"/>
      <c r="AD97" s="184"/>
      <c r="AE97" s="184"/>
      <c r="AF97" s="184"/>
      <c r="AG97" s="458"/>
      <c r="AH97" s="184"/>
      <c r="AO97" s="184"/>
      <c r="AP97" s="665"/>
    </row>
    <row r="98" spans="15:42" s="22" customFormat="1" x14ac:dyDescent="0.25">
      <c r="O98" s="184"/>
      <c r="P98" s="184"/>
      <c r="Q98" s="184"/>
      <c r="R98" s="184"/>
      <c r="S98" s="184"/>
      <c r="T98" s="184"/>
      <c r="U98" s="184"/>
      <c r="V98" s="184"/>
      <c r="W98" s="184"/>
      <c r="X98" s="184"/>
      <c r="Y98" s="184"/>
      <c r="Z98" s="184"/>
      <c r="AA98" s="459"/>
      <c r="AB98" s="457"/>
      <c r="AC98" s="184"/>
      <c r="AD98" s="184"/>
      <c r="AE98" s="184"/>
      <c r="AF98" s="184"/>
      <c r="AG98" s="458"/>
      <c r="AH98" s="184"/>
      <c r="AO98" s="184"/>
      <c r="AP98" s="665"/>
    </row>
    <row r="99" spans="15:42" s="22" customFormat="1" x14ac:dyDescent="0.25">
      <c r="O99" s="184"/>
      <c r="P99" s="184"/>
      <c r="Q99" s="184"/>
      <c r="R99" s="184"/>
      <c r="S99" s="184"/>
      <c r="T99" s="184"/>
      <c r="U99" s="184"/>
      <c r="V99" s="184"/>
      <c r="W99" s="184"/>
      <c r="X99" s="184"/>
      <c r="Y99" s="184"/>
      <c r="Z99" s="184"/>
      <c r="AA99" s="459"/>
      <c r="AB99" s="457"/>
      <c r="AC99" s="184"/>
      <c r="AD99" s="184"/>
      <c r="AE99" s="184"/>
      <c r="AF99" s="184"/>
      <c r="AG99" s="458"/>
      <c r="AH99" s="184"/>
      <c r="AO99" s="184"/>
      <c r="AP99" s="665"/>
    </row>
    <row r="100" spans="15:42" s="22" customFormat="1" x14ac:dyDescent="0.25">
      <c r="O100" s="184"/>
      <c r="P100" s="184"/>
      <c r="Q100" s="184"/>
      <c r="R100" s="184"/>
      <c r="S100" s="184"/>
      <c r="T100" s="184"/>
      <c r="U100" s="184"/>
      <c r="V100" s="184"/>
      <c r="W100" s="184"/>
      <c r="X100" s="184"/>
      <c r="Y100" s="184"/>
      <c r="Z100" s="184"/>
      <c r="AA100" s="459"/>
      <c r="AB100" s="457"/>
      <c r="AC100" s="184"/>
      <c r="AD100" s="184"/>
      <c r="AE100" s="184"/>
      <c r="AF100" s="184"/>
      <c r="AG100" s="458"/>
      <c r="AH100" s="184"/>
      <c r="AO100" s="184"/>
      <c r="AP100" s="665"/>
    </row>
    <row r="101" spans="15:42" s="22" customFormat="1" x14ac:dyDescent="0.25">
      <c r="O101" s="184"/>
      <c r="P101" s="184"/>
      <c r="Q101" s="184"/>
      <c r="R101" s="184"/>
      <c r="S101" s="184"/>
      <c r="T101" s="184"/>
      <c r="U101" s="184"/>
      <c r="V101" s="184"/>
      <c r="W101" s="184"/>
      <c r="X101" s="184"/>
      <c r="Y101" s="184"/>
      <c r="Z101" s="184"/>
      <c r="AA101" s="459"/>
      <c r="AB101" s="457"/>
      <c r="AC101" s="184"/>
      <c r="AD101" s="184"/>
      <c r="AE101" s="184"/>
      <c r="AF101" s="184"/>
      <c r="AG101" s="458"/>
      <c r="AH101" s="184"/>
      <c r="AO101" s="184"/>
      <c r="AP101" s="665"/>
    </row>
    <row r="102" spans="15:42" s="22" customFormat="1" x14ac:dyDescent="0.25">
      <c r="O102" s="184"/>
      <c r="P102" s="184"/>
      <c r="Q102" s="184"/>
      <c r="R102" s="184"/>
      <c r="S102" s="184"/>
      <c r="T102" s="184"/>
      <c r="U102" s="184"/>
      <c r="V102" s="184"/>
      <c r="W102" s="184"/>
      <c r="X102" s="184"/>
      <c r="Y102" s="184"/>
      <c r="Z102" s="184"/>
      <c r="AA102" s="459"/>
      <c r="AB102" s="457"/>
      <c r="AC102" s="184"/>
      <c r="AD102" s="184"/>
      <c r="AE102" s="184"/>
      <c r="AF102" s="184"/>
      <c r="AG102" s="458"/>
      <c r="AH102" s="184"/>
      <c r="AO102" s="184"/>
      <c r="AP102" s="665"/>
    </row>
    <row r="464" spans="34:39" x14ac:dyDescent="0.25">
      <c r="AH464" s="14"/>
      <c r="AI464" s="136"/>
      <c r="AJ464" s="13"/>
      <c r="AK464" s="13"/>
      <c r="AL464" s="13"/>
      <c r="AM464" s="13"/>
    </row>
  </sheetData>
  <mergeCells count="68">
    <mergeCell ref="U20:X20"/>
    <mergeCell ref="A17:AH17"/>
    <mergeCell ref="AI17:AN17"/>
    <mergeCell ref="U50:W50"/>
    <mergeCell ref="A31:W31"/>
    <mergeCell ref="A36:W36"/>
    <mergeCell ref="A39:W39"/>
    <mergeCell ref="A18:W18"/>
    <mergeCell ref="A22:W22"/>
    <mergeCell ref="A24:W24"/>
    <mergeCell ref="A28:W28"/>
    <mergeCell ref="A20:D20"/>
    <mergeCell ref="E20:H20"/>
    <mergeCell ref="I20:L20"/>
    <mergeCell ref="M20:P20"/>
    <mergeCell ref="Q20:T20"/>
    <mergeCell ref="AN12:AN15"/>
    <mergeCell ref="A6:AN6"/>
    <mergeCell ref="A1:Z1"/>
    <mergeCell ref="A2:Y2"/>
    <mergeCell ref="A3:AN3"/>
    <mergeCell ref="A4:AN4"/>
    <mergeCell ref="A5:AN5"/>
    <mergeCell ref="J12:J16"/>
    <mergeCell ref="N12:O12"/>
    <mergeCell ref="N13:N15"/>
    <mergeCell ref="O13:O15"/>
    <mergeCell ref="U12:Z14"/>
    <mergeCell ref="AA12:AE13"/>
    <mergeCell ref="A7:Y7"/>
    <mergeCell ref="A10:K11"/>
    <mergeCell ref="L10:AN11"/>
    <mergeCell ref="A12:A15"/>
    <mergeCell ref="B12:B15"/>
    <mergeCell ref="C12:C15"/>
    <mergeCell ref="D12:D15"/>
    <mergeCell ref="E12:E15"/>
    <mergeCell ref="F12:F15"/>
    <mergeCell ref="G12:G15"/>
    <mergeCell ref="H12:H15"/>
    <mergeCell ref="I12:I15"/>
    <mergeCell ref="K12:K15"/>
    <mergeCell ref="L12:L15"/>
    <mergeCell ref="P13:P15"/>
    <mergeCell ref="Q13:R13"/>
    <mergeCell ref="Q14:Q15"/>
    <mergeCell ref="M12:M15"/>
    <mergeCell ref="P12:R12"/>
    <mergeCell ref="S12:S15"/>
    <mergeCell ref="T12:T15"/>
    <mergeCell ref="R14:R15"/>
    <mergeCell ref="AB14:AB15"/>
    <mergeCell ref="AF12:AH13"/>
    <mergeCell ref="AH14:AH15"/>
    <mergeCell ref="AF14:AF15"/>
    <mergeCell ref="X15:Z15"/>
    <mergeCell ref="AA14:AA15"/>
    <mergeCell ref="AG14:AG15"/>
    <mergeCell ref="AC14:AC15"/>
    <mergeCell ref="AD14:AD15"/>
    <mergeCell ref="AE14:AE15"/>
    <mergeCell ref="AI14:AI15"/>
    <mergeCell ref="AJ14:AJ15"/>
    <mergeCell ref="AL14:AL15"/>
    <mergeCell ref="AM14:AM15"/>
    <mergeCell ref="AI12:AJ13"/>
    <mergeCell ref="AK12:AK15"/>
    <mergeCell ref="AL12:AM13"/>
  </mergeCells>
  <phoneticPr fontId="18" type="noConversion"/>
  <dataValidations count="6">
    <dataValidation type="list" showInputMessage="1" showErrorMessage="1" sqref="M29" xr:uid="{E57AD475-681D-4883-B35D-18466E096B81}">
      <formula1>#REF!</formula1>
    </dataValidation>
    <dataValidation type="list" allowBlank="1" showInputMessage="1" showErrorMessage="1" sqref="K19" xr:uid="{469722E5-68E9-4A70-AC58-4854601C3D9C}">
      <formula1>$O$51:$O$67</formula1>
    </dataValidation>
    <dataValidation type="list" allowBlank="1" showInputMessage="1" showErrorMessage="1" sqref="K25 K27" xr:uid="{C4A57D62-A26B-406C-8679-80D455E8F597}">
      <formula1>$O$50:$O$66</formula1>
    </dataValidation>
    <dataValidation type="list" allowBlank="1" showInputMessage="1" showErrorMessage="1" sqref="K29:K30" xr:uid="{6F9561ED-FE96-4B5A-8DEA-BDE92F6B9C24}">
      <formula1>$O$54:$O$71</formula1>
    </dataValidation>
    <dataValidation type="list" showInputMessage="1" showErrorMessage="1" sqref="N68:N93" xr:uid="{A29ECF10-59DE-4625-B754-52D59CCF9C1B}">
      <formula1>$B$54:$B$70</formula1>
    </dataValidation>
    <dataValidation type="list" allowBlank="1" showInputMessage="1" showErrorMessage="1" sqref="K23 K40:K45 K21 K37:K38" xr:uid="{A1FC886C-EB60-4ADA-949B-031EF202F3FB}">
      <formula1>$N$68:$N$93</formula1>
    </dataValidation>
  </dataValidations>
  <pageMargins left="0.51181102362204722" right="0.31496062992125984" top="0.74803149606299213" bottom="0.74803149606299213" header="0.31496062992125984" footer="0.31496062992125984"/>
  <pageSetup paperSize="5" scale="31" fitToHeight="0" orientation="landscape" r:id="rId1"/>
  <rowBreaks count="4" manualBreakCount="4">
    <brk id="27" max="16383" man="1"/>
    <brk id="36" max="16383" man="1"/>
    <brk id="37" max="16383" man="1"/>
    <brk id="44"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85DBD09-0A02-4E84-B5BE-E59D17E26802}">
          <x14:formula1>
            <xm:f>'C:\Users\rrodriguez\AppData\Local\Microsoft\Windows\INetCache\Content.Outlook\PODJYROB\[PROGRAMA I POI MAPP 2020.xlsx]codigos pres'!#REF!</xm:f>
          </x14:formula1>
          <xm:sqref>L19 L29:L30 L32 L34:L35 L21</xm:sqref>
        </x14:dataValidation>
        <x14:dataValidation type="list" allowBlank="1" showInputMessage="1" showErrorMessage="1" xr:uid="{4666BCCB-6B2D-4777-A174-9E368EB1F6D2}">
          <x14:formula1>
            <xm:f>'C:\Users\jchaves\AppData\Local\Microsoft\Windows\INetCache\Content.Outlook\YT5API45\[PROGRAMA I POI MAPP 2020 - 2-08-2019.xlsx]codigos pres'!#REF!</xm:f>
          </x14:formula1>
          <xm:sqref>L25:L27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148D8-6180-4424-8CB4-6ED6B7D60492}">
  <dimension ref="A2:C74"/>
  <sheetViews>
    <sheetView topLeftCell="A40" zoomScale="75" zoomScaleNormal="75" workbookViewId="0">
      <selection activeCell="A43" sqref="A43:C74"/>
    </sheetView>
  </sheetViews>
  <sheetFormatPr baseColWidth="10" defaultColWidth="11.42578125" defaultRowHeight="15" x14ac:dyDescent="0.25"/>
  <cols>
    <col min="1" max="1" width="36.7109375" customWidth="1"/>
    <col min="2" max="2" width="39.7109375" customWidth="1"/>
    <col min="3" max="3" width="23" customWidth="1"/>
    <col min="4" max="4" width="22.28515625" customWidth="1"/>
  </cols>
  <sheetData>
    <row r="2" spans="1:3" ht="15.75" thickBot="1" x14ac:dyDescent="0.3">
      <c r="A2" s="13"/>
      <c r="B2" s="13"/>
      <c r="C2" s="13"/>
    </row>
    <row r="3" spans="1:3" ht="25.5" thickTop="1" thickBot="1" x14ac:dyDescent="0.3">
      <c r="A3" s="60" t="s">
        <v>21</v>
      </c>
      <c r="B3" s="60" t="s">
        <v>32</v>
      </c>
      <c r="C3" s="61" t="s">
        <v>37</v>
      </c>
    </row>
    <row r="4" spans="1:3" s="13" customFormat="1" ht="16.5" thickTop="1" thickBot="1" x14ac:dyDescent="0.3">
      <c r="A4" s="646" t="s">
        <v>51</v>
      </c>
      <c r="B4" s="647"/>
      <c r="C4" s="648"/>
    </row>
    <row r="5" spans="1:3" ht="25.5" thickTop="1" thickBot="1" x14ac:dyDescent="0.3">
      <c r="A5" s="24" t="s">
        <v>64</v>
      </c>
      <c r="B5" s="47" t="s">
        <v>65</v>
      </c>
      <c r="C5" s="30">
        <f>+'MAPP IFAM 2020 PROG. I'!AA19</f>
        <v>59811254.450000003</v>
      </c>
    </row>
    <row r="6" spans="1:3" s="13" customFormat="1" ht="16.5" thickTop="1" thickBot="1" x14ac:dyDescent="0.3">
      <c r="A6" s="646" t="s">
        <v>72</v>
      </c>
      <c r="B6" s="647"/>
      <c r="C6" s="648"/>
    </row>
    <row r="7" spans="1:3" ht="121.5" thickTop="1" thickBot="1" x14ac:dyDescent="0.3">
      <c r="A7" s="23" t="s">
        <v>456</v>
      </c>
      <c r="B7" s="23" t="s">
        <v>457</v>
      </c>
      <c r="C7" s="30">
        <f>+'MAPP IFAM 2020 PROG. I'!AA21</f>
        <v>124152806.73</v>
      </c>
    </row>
    <row r="8" spans="1:3" s="13" customFormat="1" ht="133.5" thickTop="1" thickBot="1" x14ac:dyDescent="0.3">
      <c r="A8" s="23" t="s">
        <v>458</v>
      </c>
      <c r="B8" s="23" t="s">
        <v>459</v>
      </c>
      <c r="C8" s="30" t="e">
        <f>+'MAPP IFAM 2020 PROG. I'!#REF!</f>
        <v>#REF!</v>
      </c>
    </row>
    <row r="9" spans="1:3" s="13" customFormat="1" ht="16.5" thickTop="1" thickBot="1" x14ac:dyDescent="0.3">
      <c r="A9" s="646" t="s">
        <v>460</v>
      </c>
      <c r="B9" s="647"/>
      <c r="C9" s="648"/>
    </row>
    <row r="10" spans="1:3" ht="37.5" thickTop="1" thickBot="1" x14ac:dyDescent="0.3">
      <c r="A10" s="23" t="s">
        <v>461</v>
      </c>
      <c r="B10" s="23" t="s">
        <v>462</v>
      </c>
      <c r="C10" s="30">
        <f>+'MAPP IFAM 2020 PROG. I'!AA23</f>
        <v>21985347.300000001</v>
      </c>
    </row>
    <row r="11" spans="1:3" s="13" customFormat="1" ht="16.5" thickTop="1" thickBot="1" x14ac:dyDescent="0.3">
      <c r="A11" s="646" t="s">
        <v>86</v>
      </c>
      <c r="B11" s="647"/>
      <c r="C11" s="648"/>
    </row>
    <row r="12" spans="1:3" s="13" customFormat="1" ht="108" customHeight="1" thickTop="1" thickBot="1" x14ac:dyDescent="0.3">
      <c r="A12" s="23" t="s">
        <v>88</v>
      </c>
      <c r="B12" s="23" t="s">
        <v>463</v>
      </c>
      <c r="C12" s="30">
        <v>140000000</v>
      </c>
    </row>
    <row r="13" spans="1:3" s="13" customFormat="1" ht="99.75" customHeight="1" thickTop="1" thickBot="1" x14ac:dyDescent="0.3">
      <c r="A13" s="23" t="s">
        <v>464</v>
      </c>
      <c r="B13" s="23" t="s">
        <v>465</v>
      </c>
      <c r="C13" s="30">
        <v>14300000</v>
      </c>
    </row>
    <row r="14" spans="1:3" s="13" customFormat="1" ht="16.5" thickTop="1" thickBot="1" x14ac:dyDescent="0.3">
      <c r="A14" s="646" t="s">
        <v>466</v>
      </c>
      <c r="B14" s="647"/>
      <c r="C14" s="648"/>
    </row>
    <row r="15" spans="1:3" ht="49.5" thickTop="1" thickBot="1" x14ac:dyDescent="0.3">
      <c r="A15" s="34" t="s">
        <v>467</v>
      </c>
      <c r="B15" s="34" t="s">
        <v>468</v>
      </c>
      <c r="C15" s="30">
        <v>13426666.66</v>
      </c>
    </row>
    <row r="16" spans="1:3" ht="37.5" thickTop="1" thickBot="1" x14ac:dyDescent="0.3">
      <c r="A16" s="34" t="s">
        <v>101</v>
      </c>
      <c r="B16" s="34" t="s">
        <v>103</v>
      </c>
      <c r="C16" s="30">
        <v>13426666.67</v>
      </c>
    </row>
    <row r="17" spans="1:3" ht="37.5" thickTop="1" thickBot="1" x14ac:dyDescent="0.3">
      <c r="A17" s="32" t="s">
        <v>107</v>
      </c>
      <c r="B17" s="34" t="s">
        <v>108</v>
      </c>
      <c r="C17" s="30">
        <v>13676666.67</v>
      </c>
    </row>
    <row r="18" spans="1:3" s="13" customFormat="1" ht="16.5" thickTop="1" thickBot="1" x14ac:dyDescent="0.3">
      <c r="A18" s="646" t="s">
        <v>111</v>
      </c>
      <c r="B18" s="647"/>
      <c r="C18" s="648"/>
    </row>
    <row r="19" spans="1:3" ht="37.5" thickTop="1" thickBot="1" x14ac:dyDescent="0.3">
      <c r="A19" s="23" t="s">
        <v>469</v>
      </c>
      <c r="B19" s="23" t="s">
        <v>470</v>
      </c>
      <c r="C19" s="30">
        <v>84800000</v>
      </c>
    </row>
    <row r="20" spans="1:3" ht="97.5" thickTop="1" thickBot="1" x14ac:dyDescent="0.3">
      <c r="A20" s="23" t="s">
        <v>471</v>
      </c>
      <c r="B20" s="23" t="s">
        <v>472</v>
      </c>
      <c r="C20" s="30">
        <v>30475000</v>
      </c>
    </row>
    <row r="21" spans="1:3" ht="97.5" thickTop="1" thickBot="1" x14ac:dyDescent="0.3">
      <c r="A21" s="23" t="s">
        <v>473</v>
      </c>
      <c r="B21" s="23" t="s">
        <v>474</v>
      </c>
      <c r="C21" s="30">
        <v>1054700</v>
      </c>
    </row>
    <row r="22" spans="1:3" s="13" customFormat="1" ht="16.5" thickTop="1" thickBot="1" x14ac:dyDescent="0.3">
      <c r="A22" s="646" t="s">
        <v>118</v>
      </c>
      <c r="B22" s="647"/>
      <c r="C22" s="648"/>
    </row>
    <row r="23" spans="1:3" ht="61.5" thickTop="1" thickBot="1" x14ac:dyDescent="0.3">
      <c r="A23" s="23" t="s">
        <v>121</v>
      </c>
      <c r="B23" s="23" t="s">
        <v>122</v>
      </c>
      <c r="C23" s="30">
        <v>7050000</v>
      </c>
    </row>
    <row r="24" spans="1:3" ht="49.5" thickTop="1" thickBot="1" x14ac:dyDescent="0.3">
      <c r="A24" s="23" t="s">
        <v>127</v>
      </c>
      <c r="B24" s="23" t="s">
        <v>128</v>
      </c>
      <c r="C24" s="30">
        <v>7050000</v>
      </c>
    </row>
    <row r="25" spans="1:3" s="13" customFormat="1" ht="16.5" thickTop="1" thickBot="1" x14ac:dyDescent="0.3">
      <c r="A25" s="646" t="s">
        <v>132</v>
      </c>
      <c r="B25" s="647"/>
      <c r="C25" s="648"/>
    </row>
    <row r="26" spans="1:3" ht="162.75" customHeight="1" thickTop="1" thickBot="1" x14ac:dyDescent="0.3">
      <c r="A26" s="24" t="s">
        <v>475</v>
      </c>
      <c r="B26" s="47" t="s">
        <v>476</v>
      </c>
      <c r="C26" s="30">
        <v>5700000</v>
      </c>
    </row>
    <row r="27" spans="1:3" s="13" customFormat="1" ht="19.899999999999999" customHeight="1" thickTop="1" thickBot="1" x14ac:dyDescent="0.3">
      <c r="A27" s="646" t="s">
        <v>143</v>
      </c>
      <c r="B27" s="647"/>
      <c r="C27" s="648"/>
    </row>
    <row r="28" spans="1:3" ht="73.5" thickTop="1" thickBot="1" x14ac:dyDescent="0.3">
      <c r="A28" s="23" t="s">
        <v>145</v>
      </c>
      <c r="B28" s="23" t="s">
        <v>146</v>
      </c>
      <c r="C28" s="30">
        <f>+'MAPP IFAM 2020 PROG. I'!AA40</f>
        <v>25493147.879999999</v>
      </c>
    </row>
    <row r="29" spans="1:3" ht="145.5" thickTop="1" thickBot="1" x14ac:dyDescent="0.3">
      <c r="A29" s="23" t="s">
        <v>151</v>
      </c>
      <c r="B29" s="23" t="s">
        <v>477</v>
      </c>
      <c r="C29" s="30">
        <f>+'MAPP IFAM 2020 PROG. I'!AA41</f>
        <v>53010228.119999997</v>
      </c>
    </row>
    <row r="30" spans="1:3" ht="37.5" thickTop="1" thickBot="1" x14ac:dyDescent="0.3">
      <c r="A30" s="23" t="s">
        <v>478</v>
      </c>
      <c r="B30" s="23" t="s">
        <v>479</v>
      </c>
      <c r="C30" s="30">
        <f>+'MAPP IFAM 2020 PROG. I'!AA42</f>
        <v>43801910.039999999</v>
      </c>
    </row>
    <row r="31" spans="1:3" ht="73.5" thickTop="1" thickBot="1" x14ac:dyDescent="0.3">
      <c r="A31" s="23" t="s">
        <v>480</v>
      </c>
      <c r="B31" s="23" t="s">
        <v>481</v>
      </c>
      <c r="C31" s="30">
        <f>+'MAPP IFAM 2020 PROG. I'!AA43</f>
        <v>712694336.37</v>
      </c>
    </row>
    <row r="32" spans="1:3" ht="61.5" thickTop="1" thickBot="1" x14ac:dyDescent="0.3">
      <c r="A32" s="23" t="s">
        <v>165</v>
      </c>
      <c r="B32" s="23" t="s">
        <v>166</v>
      </c>
      <c r="C32" s="30">
        <f>+'MAPP IFAM 2020 PROG. I'!AA44</f>
        <v>80000000</v>
      </c>
    </row>
    <row r="33" spans="1:3" ht="61.5" thickTop="1" thickBot="1" x14ac:dyDescent="0.3">
      <c r="A33" s="23" t="s">
        <v>169</v>
      </c>
      <c r="B33" s="23" t="s">
        <v>170</v>
      </c>
      <c r="C33" s="30">
        <f>+'MAPP IFAM 2020 PROG. I'!AA45</f>
        <v>99020755.810000002</v>
      </c>
    </row>
    <row r="34" spans="1:3" ht="37.5" thickTop="1" thickBot="1" x14ac:dyDescent="0.3">
      <c r="A34" s="23" t="s">
        <v>482</v>
      </c>
      <c r="B34" s="23" t="s">
        <v>483</v>
      </c>
      <c r="C34" s="30" t="e">
        <f>+'MAPP IFAM 2020 PROG. I'!#REF!</f>
        <v>#REF!</v>
      </c>
    </row>
    <row r="35" spans="1:3" ht="49.5" thickTop="1" thickBot="1" x14ac:dyDescent="0.3">
      <c r="A35" s="23" t="s">
        <v>175</v>
      </c>
      <c r="B35" s="23" t="s">
        <v>176</v>
      </c>
      <c r="C35" s="30">
        <f>+'MAPP IFAM 2020 PROG. I'!AA46</f>
        <v>4639710.05</v>
      </c>
    </row>
    <row r="36" spans="1:3" ht="109.5" thickTop="1" thickBot="1" x14ac:dyDescent="0.3">
      <c r="A36" s="23" t="s">
        <v>484</v>
      </c>
      <c r="B36" s="23" t="s">
        <v>485</v>
      </c>
      <c r="C36" s="30">
        <f>+'MAPP IFAM 2020 PROG. I'!AA47</f>
        <v>297670057.95999998</v>
      </c>
    </row>
    <row r="37" spans="1:3" ht="49.5" thickTop="1" thickBot="1" x14ac:dyDescent="0.3">
      <c r="A37" s="23" t="s">
        <v>184</v>
      </c>
      <c r="B37" s="23" t="s">
        <v>185</v>
      </c>
      <c r="C37" s="30">
        <f>+'MAPP IFAM 2020 PROG. I'!AA48</f>
        <v>50000000</v>
      </c>
    </row>
    <row r="38" spans="1:3" ht="115.15" customHeight="1" thickTop="1" thickBot="1" x14ac:dyDescent="0.3">
      <c r="A38" s="23" t="s">
        <v>188</v>
      </c>
      <c r="B38" s="23" t="s">
        <v>486</v>
      </c>
      <c r="C38" s="30">
        <f>+'MAPP IFAM 2020 PROG. I'!AA49</f>
        <v>18583951.130000003</v>
      </c>
    </row>
    <row r="39" spans="1:3" ht="15.75" thickTop="1" x14ac:dyDescent="0.25">
      <c r="A39" s="649" t="s">
        <v>487</v>
      </c>
      <c r="B39" s="650"/>
      <c r="C39" s="63" t="e">
        <f>SUM(C5:C38)</f>
        <v>#REF!</v>
      </c>
    </row>
    <row r="42" spans="1:3" ht="15.75" thickBot="1" x14ac:dyDescent="0.3">
      <c r="A42" s="13"/>
      <c r="B42" s="13"/>
      <c r="C42" s="13"/>
    </row>
    <row r="43" spans="1:3" ht="25.5" thickTop="1" thickBot="1" x14ac:dyDescent="0.3">
      <c r="A43" s="60" t="s">
        <v>21</v>
      </c>
      <c r="B43" s="60" t="s">
        <v>32</v>
      </c>
      <c r="C43" s="61" t="s">
        <v>37</v>
      </c>
    </row>
    <row r="44" spans="1:3" s="13" customFormat="1" ht="16.5" hidden="1" thickTop="1" thickBot="1" x14ac:dyDescent="0.3">
      <c r="A44" s="646" t="s">
        <v>204</v>
      </c>
      <c r="B44" s="647"/>
      <c r="C44" s="648"/>
    </row>
    <row r="45" spans="1:3" ht="49.5" hidden="1" thickTop="1" thickBot="1" x14ac:dyDescent="0.3">
      <c r="A45" s="23" t="s">
        <v>488</v>
      </c>
      <c r="B45" s="23" t="s">
        <v>489</v>
      </c>
      <c r="C45" s="26">
        <v>14435000</v>
      </c>
    </row>
    <row r="46" spans="1:3" s="13" customFormat="1" ht="16.5" hidden="1" thickTop="1" thickBot="1" x14ac:dyDescent="0.3">
      <c r="A46" s="646" t="s">
        <v>490</v>
      </c>
      <c r="B46" s="647"/>
      <c r="C46" s="648"/>
    </row>
    <row r="47" spans="1:3" ht="121.5" hidden="1" thickTop="1" thickBot="1" x14ac:dyDescent="0.3">
      <c r="A47" s="23" t="s">
        <v>218</v>
      </c>
      <c r="B47" s="23" t="s">
        <v>491</v>
      </c>
      <c r="C47" s="26">
        <v>60443253.8565</v>
      </c>
    </row>
    <row r="48" spans="1:3" ht="49.5" hidden="1" thickTop="1" thickBot="1" x14ac:dyDescent="0.3">
      <c r="A48" s="23" t="s">
        <v>492</v>
      </c>
      <c r="B48" s="23" t="s">
        <v>225</v>
      </c>
      <c r="C48" s="26">
        <v>3265952.3139</v>
      </c>
    </row>
    <row r="49" spans="1:3" ht="49.5" hidden="1" thickTop="1" thickBot="1" x14ac:dyDescent="0.3">
      <c r="A49" s="23" t="s">
        <v>493</v>
      </c>
      <c r="B49" s="23" t="s">
        <v>229</v>
      </c>
      <c r="C49" s="26">
        <v>10354603.085200001</v>
      </c>
    </row>
    <row r="50" spans="1:3" ht="49.5" hidden="1" thickTop="1" thickBot="1" x14ac:dyDescent="0.3">
      <c r="A50" s="23" t="s">
        <v>494</v>
      </c>
      <c r="B50" s="23" t="s">
        <v>233</v>
      </c>
      <c r="C50" s="26">
        <v>2509206.1704000002</v>
      </c>
    </row>
    <row r="51" spans="1:3" s="13" customFormat="1" ht="16.5" hidden="1" thickTop="1" thickBot="1" x14ac:dyDescent="0.3">
      <c r="A51" s="646" t="s">
        <v>495</v>
      </c>
      <c r="B51" s="647"/>
      <c r="C51" s="648"/>
    </row>
    <row r="52" spans="1:3" ht="37.5" hidden="1" thickTop="1" thickBot="1" x14ac:dyDescent="0.3">
      <c r="A52" s="23" t="s">
        <v>496</v>
      </c>
      <c r="B52" s="23" t="s">
        <v>241</v>
      </c>
      <c r="C52" s="26">
        <v>8204628734</v>
      </c>
    </row>
    <row r="53" spans="1:3" ht="25.5" hidden="1" thickTop="1" thickBot="1" x14ac:dyDescent="0.3">
      <c r="A53" s="23" t="s">
        <v>497</v>
      </c>
      <c r="B53" s="23" t="s">
        <v>498</v>
      </c>
      <c r="C53" s="36">
        <v>300000000</v>
      </c>
    </row>
    <row r="54" spans="1:3" ht="73.5" hidden="1" thickTop="1" thickBot="1" x14ac:dyDescent="0.3">
      <c r="A54" s="23" t="s">
        <v>499</v>
      </c>
      <c r="B54" s="23" t="s">
        <v>500</v>
      </c>
      <c r="C54" s="64">
        <v>208575000</v>
      </c>
    </row>
    <row r="55" spans="1:3" ht="229.5" hidden="1" thickTop="1" thickBot="1" x14ac:dyDescent="0.3">
      <c r="A55" s="23" t="s">
        <v>501</v>
      </c>
      <c r="B55" s="23" t="s">
        <v>258</v>
      </c>
      <c r="C55" s="26">
        <v>250000000</v>
      </c>
    </row>
    <row r="56" spans="1:3" ht="87" hidden="1" customHeight="1" thickTop="1" thickBot="1" x14ac:dyDescent="0.3">
      <c r="A56" s="23" t="s">
        <v>502</v>
      </c>
      <c r="B56" s="23" t="s">
        <v>503</v>
      </c>
      <c r="C56" s="36">
        <v>100000000</v>
      </c>
    </row>
    <row r="57" spans="1:3" ht="61.5" hidden="1" thickTop="1" thickBot="1" x14ac:dyDescent="0.3">
      <c r="A57" s="23" t="s">
        <v>504</v>
      </c>
      <c r="B57" s="23" t="s">
        <v>94</v>
      </c>
      <c r="C57" s="31">
        <v>110000000</v>
      </c>
    </row>
    <row r="58" spans="1:3" ht="61.5" hidden="1" thickTop="1" thickBot="1" x14ac:dyDescent="0.3">
      <c r="A58" s="23" t="s">
        <v>505</v>
      </c>
      <c r="B58" s="23" t="s">
        <v>506</v>
      </c>
      <c r="C58" s="26">
        <v>225000000</v>
      </c>
    </row>
    <row r="59" spans="1:3" s="13" customFormat="1" ht="16.5" hidden="1" thickTop="1" thickBot="1" x14ac:dyDescent="0.3">
      <c r="A59" s="646" t="s">
        <v>507</v>
      </c>
      <c r="B59" s="647"/>
      <c r="C59" s="648"/>
    </row>
    <row r="60" spans="1:3" ht="73.5" hidden="1" thickTop="1" thickBot="1" x14ac:dyDescent="0.3">
      <c r="A60" s="23" t="s">
        <v>265</v>
      </c>
      <c r="B60" s="23" t="s">
        <v>266</v>
      </c>
      <c r="C60" s="26">
        <v>120000000</v>
      </c>
    </row>
    <row r="61" spans="1:3" ht="109.5" hidden="1" thickTop="1" thickBot="1" x14ac:dyDescent="0.3">
      <c r="A61" s="15" t="s">
        <v>269</v>
      </c>
      <c r="B61" s="23" t="s">
        <v>270</v>
      </c>
      <c r="C61" s="26">
        <v>20000000</v>
      </c>
    </row>
    <row r="62" spans="1:3" ht="157.5" hidden="1" thickTop="1" thickBot="1" x14ac:dyDescent="0.3">
      <c r="A62" s="15" t="s">
        <v>273</v>
      </c>
      <c r="B62" s="23" t="s">
        <v>508</v>
      </c>
      <c r="C62" s="26">
        <v>5000000</v>
      </c>
    </row>
    <row r="63" spans="1:3" ht="49.5" hidden="1" thickTop="1" thickBot="1" x14ac:dyDescent="0.3">
      <c r="A63" s="23" t="s">
        <v>278</v>
      </c>
      <c r="B63" s="23" t="s">
        <v>279</v>
      </c>
      <c r="C63" s="36">
        <v>58000000</v>
      </c>
    </row>
    <row r="64" spans="1:3" ht="85.5" hidden="1" thickTop="1" thickBot="1" x14ac:dyDescent="0.3">
      <c r="A64" s="23" t="s">
        <v>284</v>
      </c>
      <c r="B64" s="23" t="s">
        <v>285</v>
      </c>
      <c r="C64" s="36">
        <v>40000000</v>
      </c>
    </row>
    <row r="65" spans="1:3" ht="49.5" hidden="1" thickTop="1" thickBot="1" x14ac:dyDescent="0.3">
      <c r="A65" s="23" t="s">
        <v>288</v>
      </c>
      <c r="B65" s="23" t="s">
        <v>289</v>
      </c>
      <c r="C65" s="36">
        <v>30000000</v>
      </c>
    </row>
    <row r="66" spans="1:3" ht="143.1" hidden="1" customHeight="1" thickTop="1" thickBot="1" x14ac:dyDescent="0.3">
      <c r="A66" s="48" t="s">
        <v>292</v>
      </c>
      <c r="B66" s="48" t="s">
        <v>509</v>
      </c>
      <c r="C66" s="49">
        <v>805000000</v>
      </c>
    </row>
    <row r="67" spans="1:3" ht="121.5" hidden="1" thickTop="1" thickBot="1" x14ac:dyDescent="0.3">
      <c r="A67" s="23" t="s">
        <v>510</v>
      </c>
      <c r="B67" s="23" t="s">
        <v>298</v>
      </c>
      <c r="C67" s="26">
        <v>30000000</v>
      </c>
    </row>
    <row r="68" spans="1:3" s="13" customFormat="1" ht="16.5" thickTop="1" thickBot="1" x14ac:dyDescent="0.3">
      <c r="A68" s="646" t="s">
        <v>511</v>
      </c>
      <c r="B68" s="647"/>
      <c r="C68" s="648"/>
    </row>
    <row r="69" spans="1:3" ht="37.5" thickTop="1" thickBot="1" x14ac:dyDescent="0.3">
      <c r="A69" s="23" t="s">
        <v>304</v>
      </c>
      <c r="B69" s="23" t="s">
        <v>305</v>
      </c>
      <c r="C69" s="30">
        <v>100000000</v>
      </c>
    </row>
    <row r="70" spans="1:3" ht="61.5" thickTop="1" thickBot="1" x14ac:dyDescent="0.3">
      <c r="A70" s="23" t="s">
        <v>308</v>
      </c>
      <c r="B70" s="23" t="s">
        <v>309</v>
      </c>
      <c r="C70" s="31">
        <v>150000000</v>
      </c>
    </row>
    <row r="71" spans="1:3" ht="37.5" thickTop="1" thickBot="1" x14ac:dyDescent="0.3">
      <c r="A71" s="23" t="s">
        <v>311</v>
      </c>
      <c r="B71" s="33" t="s">
        <v>312</v>
      </c>
      <c r="C71" s="31">
        <v>100000000</v>
      </c>
    </row>
    <row r="72" spans="1:3" ht="133.5" thickTop="1" thickBot="1" x14ac:dyDescent="0.3">
      <c r="A72" s="33" t="s">
        <v>512</v>
      </c>
      <c r="B72" s="33" t="s">
        <v>315</v>
      </c>
      <c r="C72" s="30">
        <v>763750132.55200005</v>
      </c>
    </row>
    <row r="73" spans="1:3" ht="37.5" thickTop="1" thickBot="1" x14ac:dyDescent="0.3">
      <c r="A73" s="33" t="s">
        <v>317</v>
      </c>
      <c r="B73" s="33" t="s">
        <v>318</v>
      </c>
      <c r="C73" s="30">
        <v>162097712.958</v>
      </c>
    </row>
    <row r="74" spans="1:3" ht="15.75" thickTop="1" x14ac:dyDescent="0.25">
      <c r="A74" s="649" t="s">
        <v>320</v>
      </c>
      <c r="B74" s="650"/>
      <c r="C74" s="62">
        <f>SUM(C45:C73)</f>
        <v>11873059594.935999</v>
      </c>
    </row>
  </sheetData>
  <mergeCells count="16">
    <mergeCell ref="A68:C68"/>
    <mergeCell ref="A39:B39"/>
    <mergeCell ref="A74:B74"/>
    <mergeCell ref="A4:C4"/>
    <mergeCell ref="A6:C6"/>
    <mergeCell ref="A9:C9"/>
    <mergeCell ref="A11:C11"/>
    <mergeCell ref="A14:C14"/>
    <mergeCell ref="A18:C18"/>
    <mergeCell ref="A22:C22"/>
    <mergeCell ref="A25:C25"/>
    <mergeCell ref="A27:C27"/>
    <mergeCell ref="A44:C44"/>
    <mergeCell ref="A46:C46"/>
    <mergeCell ref="A51:C51"/>
    <mergeCell ref="A59:C59"/>
  </mergeCells>
  <dataValidations count="2">
    <dataValidation type="list" showInputMessage="1" showErrorMessage="1" sqref="A16" xr:uid="{5EBA4EED-B946-40BB-B5E5-A7D7166C291A}">
      <formula1>#REF!</formula1>
    </dataValidation>
    <dataValidation type="list" allowBlank="1" showInputMessage="1" showErrorMessage="1" sqref="A61:A62" xr:uid="{2E158595-E749-479B-A7A2-D33F659F25C8}">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8"/>
  <sheetViews>
    <sheetView showGridLines="0" tabSelected="1" view="pageBreakPreview" topLeftCell="AC9" zoomScale="75" zoomScaleNormal="50" zoomScaleSheetLayoutView="75" workbookViewId="0">
      <selection activeCell="AG16" sqref="AG16"/>
    </sheetView>
  </sheetViews>
  <sheetFormatPr baseColWidth="10" defaultColWidth="22.7109375" defaultRowHeight="15" x14ac:dyDescent="0.25"/>
  <cols>
    <col min="1" max="4" width="22.7109375" style="1"/>
    <col min="6" max="6" width="22.7109375" style="1"/>
    <col min="9" max="9" width="22.7109375" style="1"/>
    <col min="10" max="10" width="22.7109375" style="13"/>
    <col min="11" max="12" width="22.7109375" style="1"/>
    <col min="14" max="14" width="28" style="1" customWidth="1"/>
    <col min="15" max="15" width="22.7109375" style="14"/>
    <col min="16" max="23" width="22.7109375" style="1"/>
    <col min="24" max="24" width="22.7109375" style="13"/>
    <col min="25" max="26" width="22.7109375" style="281"/>
    <col min="27" max="27" width="28.5703125" style="1" customWidth="1"/>
    <col min="28" max="28" width="22.7109375" style="13"/>
    <col min="29" max="29" width="26.85546875" style="13" customWidth="1"/>
    <col min="30" max="33" width="22.7109375" style="13"/>
    <col min="34" max="34" width="22.7109375" style="1"/>
    <col min="35" max="35" width="67.28515625" style="296" customWidth="1"/>
    <col min="36" max="37" width="0" style="22" hidden="1" customWidth="1"/>
    <col min="39" max="39" width="0" hidden="1" customWidth="1"/>
  </cols>
  <sheetData>
    <row r="1" spans="1:42" s="6" customFormat="1" ht="21.6" customHeight="1" x14ac:dyDescent="0.35">
      <c r="A1" s="518"/>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17"/>
      <c r="AK1" s="17"/>
    </row>
    <row r="2" spans="1:42" s="2" customFormat="1" ht="48.2" customHeight="1" thickBot="1" x14ac:dyDescent="0.4">
      <c r="A2" s="554" t="s">
        <v>1</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18"/>
      <c r="AK2" s="18"/>
    </row>
    <row r="3" spans="1:42" s="3" customFormat="1" ht="24.95" customHeight="1" thickBot="1" x14ac:dyDescent="0.25">
      <c r="A3" s="555" t="s">
        <v>194</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19"/>
      <c r="AK3" s="19"/>
    </row>
    <row r="4" spans="1:42" s="4" customFormat="1" ht="24.95" customHeight="1" x14ac:dyDescent="0.25">
      <c r="A4" s="174" t="s">
        <v>195</v>
      </c>
      <c r="B4" s="175"/>
      <c r="C4" s="175"/>
      <c r="D4" s="175"/>
      <c r="E4" s="175"/>
      <c r="F4" s="175"/>
      <c r="G4" s="175"/>
      <c r="H4" s="175"/>
      <c r="I4" s="175"/>
      <c r="J4" s="175"/>
      <c r="K4" s="175"/>
      <c r="L4" s="175"/>
      <c r="M4" s="175"/>
      <c r="N4" s="175"/>
      <c r="O4" s="175"/>
      <c r="P4" s="175"/>
      <c r="Q4" s="175"/>
      <c r="R4" s="175"/>
      <c r="S4" s="175"/>
      <c r="T4" s="175"/>
      <c r="U4" s="175"/>
      <c r="V4" s="175"/>
      <c r="W4" s="175"/>
      <c r="X4" s="175"/>
      <c r="Y4" s="292"/>
      <c r="Z4" s="292"/>
      <c r="AA4" s="175"/>
      <c r="AB4" s="175"/>
      <c r="AC4" s="175"/>
      <c r="AD4" s="175"/>
      <c r="AE4" s="175"/>
      <c r="AF4" s="175"/>
      <c r="AG4" s="175"/>
      <c r="AH4" s="175"/>
      <c r="AI4" s="292"/>
      <c r="AJ4" s="20"/>
      <c r="AK4" s="20"/>
    </row>
    <row r="5" spans="1:42" s="7" customFormat="1" ht="24.95" customHeight="1" thickBot="1" x14ac:dyDescent="0.25">
      <c r="A5" s="564" t="s">
        <v>196</v>
      </c>
      <c r="B5" s="565"/>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19"/>
      <c r="AK5" s="19"/>
    </row>
    <row r="6" spans="1:42" s="8" customFormat="1" ht="24.95" customHeight="1" thickBot="1" x14ac:dyDescent="0.25">
      <c r="A6" s="564" t="s">
        <v>197</v>
      </c>
      <c r="B6" s="565"/>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5"/>
      <c r="AH6" s="565"/>
      <c r="AI6" s="565"/>
      <c r="AJ6" s="21"/>
      <c r="AK6" s="21"/>
    </row>
    <row r="7" spans="1:42" s="5" customFormat="1" ht="24.95" customHeight="1" thickBot="1" x14ac:dyDescent="0.25">
      <c r="A7" s="566" t="s">
        <v>6</v>
      </c>
      <c r="B7" s="567"/>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21"/>
      <c r="AK7" s="21"/>
    </row>
    <row r="8" spans="1:42" ht="40.15" customHeight="1" thickTop="1" thickBot="1" x14ac:dyDescent="0.3">
      <c r="A8" s="561" t="s">
        <v>198</v>
      </c>
      <c r="B8" s="561"/>
      <c r="C8" s="561"/>
      <c r="D8" s="561"/>
      <c r="E8" s="561"/>
      <c r="F8" s="561"/>
      <c r="G8" s="561"/>
      <c r="H8" s="561"/>
      <c r="I8" s="561"/>
      <c r="J8" s="561"/>
      <c r="K8" s="561"/>
      <c r="L8" s="560" t="s">
        <v>8</v>
      </c>
      <c r="M8" s="560"/>
      <c r="N8" s="560"/>
      <c r="O8" s="560"/>
      <c r="P8" s="560"/>
      <c r="Q8" s="560"/>
      <c r="R8" s="560"/>
      <c r="S8" s="560"/>
      <c r="T8" s="560"/>
      <c r="U8" s="560"/>
      <c r="V8" s="560"/>
      <c r="W8" s="560"/>
      <c r="X8" s="560"/>
      <c r="Y8" s="560"/>
      <c r="Z8" s="560"/>
      <c r="AA8" s="560"/>
      <c r="AB8" s="560"/>
      <c r="AC8" s="560"/>
      <c r="AD8" s="560"/>
      <c r="AE8" s="560"/>
      <c r="AF8" s="560"/>
      <c r="AG8" s="560"/>
      <c r="AH8" s="560"/>
      <c r="AI8" s="560"/>
      <c r="AL8" s="13"/>
      <c r="AM8" s="13"/>
      <c r="AN8" s="13"/>
      <c r="AO8" s="13"/>
      <c r="AP8" s="13"/>
    </row>
    <row r="9" spans="1:42" ht="41.45" customHeight="1" thickTop="1" thickBot="1" x14ac:dyDescent="0.3">
      <c r="A9" s="494" t="s">
        <v>9</v>
      </c>
      <c r="B9" s="494" t="s">
        <v>10</v>
      </c>
      <c r="C9" s="494" t="s">
        <v>11</v>
      </c>
      <c r="D9" s="494" t="s">
        <v>12</v>
      </c>
      <c r="E9" s="494" t="s">
        <v>13</v>
      </c>
      <c r="F9" s="494" t="s">
        <v>14</v>
      </c>
      <c r="G9" s="494" t="s">
        <v>15</v>
      </c>
      <c r="H9" s="494" t="s">
        <v>16</v>
      </c>
      <c r="I9" s="526" t="s">
        <v>17</v>
      </c>
      <c r="J9" s="526" t="s">
        <v>18</v>
      </c>
      <c r="K9" s="494" t="s">
        <v>19</v>
      </c>
      <c r="L9" s="494" t="s">
        <v>20</v>
      </c>
      <c r="M9" s="494" t="s">
        <v>21</v>
      </c>
      <c r="N9" s="512" t="s">
        <v>22</v>
      </c>
      <c r="O9" s="568"/>
      <c r="P9" s="512" t="s">
        <v>23</v>
      </c>
      <c r="Q9" s="513"/>
      <c r="R9" s="513"/>
      <c r="S9" s="494" t="s">
        <v>199</v>
      </c>
      <c r="T9" s="494" t="s">
        <v>200</v>
      </c>
      <c r="U9" s="498" t="s">
        <v>26</v>
      </c>
      <c r="V9" s="506"/>
      <c r="W9" s="499"/>
      <c r="X9" s="498" t="s">
        <v>201</v>
      </c>
      <c r="Y9" s="506"/>
      <c r="Z9" s="499"/>
      <c r="AA9" s="585" t="s">
        <v>202</v>
      </c>
      <c r="AB9" s="586"/>
      <c r="AC9" s="586"/>
      <c r="AD9" s="587"/>
      <c r="AE9" s="498" t="s">
        <v>29</v>
      </c>
      <c r="AF9" s="499"/>
      <c r="AG9" s="562" t="s">
        <v>30</v>
      </c>
      <c r="AH9" s="112"/>
      <c r="AI9" s="557" t="s">
        <v>31</v>
      </c>
      <c r="AL9" s="13"/>
      <c r="AM9" s="13"/>
      <c r="AN9" s="13"/>
      <c r="AO9" s="13"/>
      <c r="AP9" s="13"/>
    </row>
    <row r="10" spans="1:42" ht="15" customHeight="1" thickTop="1" thickBot="1" x14ac:dyDescent="0.3">
      <c r="A10" s="495"/>
      <c r="B10" s="495"/>
      <c r="C10" s="495"/>
      <c r="D10" s="495"/>
      <c r="E10" s="495"/>
      <c r="F10" s="495"/>
      <c r="G10" s="495"/>
      <c r="H10" s="495"/>
      <c r="I10" s="527"/>
      <c r="J10" s="527"/>
      <c r="K10" s="495"/>
      <c r="L10" s="495"/>
      <c r="M10" s="495"/>
      <c r="N10" s="305" t="s">
        <v>32</v>
      </c>
      <c r="O10" s="310" t="s">
        <v>33</v>
      </c>
      <c r="P10" s="494" t="s">
        <v>34</v>
      </c>
      <c r="Q10" s="510" t="s">
        <v>33</v>
      </c>
      <c r="R10" s="511"/>
      <c r="S10" s="495"/>
      <c r="T10" s="495"/>
      <c r="U10" s="500"/>
      <c r="V10" s="507"/>
      <c r="W10" s="501"/>
      <c r="X10" s="502"/>
      <c r="Y10" s="530"/>
      <c r="Z10" s="503"/>
      <c r="AA10" s="588"/>
      <c r="AB10" s="589"/>
      <c r="AC10" s="589"/>
      <c r="AD10" s="590"/>
      <c r="AE10" s="500"/>
      <c r="AF10" s="501"/>
      <c r="AG10" s="563"/>
      <c r="AH10" s="113"/>
      <c r="AI10" s="558"/>
      <c r="AL10" s="13"/>
      <c r="AM10" s="13"/>
      <c r="AN10" s="13"/>
      <c r="AO10" s="13"/>
      <c r="AP10" s="13"/>
    </row>
    <row r="11" spans="1:42" s="127" customFormat="1" ht="77.25" customHeight="1" thickTop="1" thickBot="1" x14ac:dyDescent="0.3">
      <c r="A11" s="495"/>
      <c r="B11" s="495"/>
      <c r="C11" s="495"/>
      <c r="D11" s="495"/>
      <c r="E11" s="495"/>
      <c r="F11" s="495"/>
      <c r="G11" s="495"/>
      <c r="H11" s="495"/>
      <c r="I11" s="527"/>
      <c r="J11" s="527"/>
      <c r="K11" s="495"/>
      <c r="L11" s="495"/>
      <c r="M11" s="495"/>
      <c r="N11" s="125"/>
      <c r="O11" s="125"/>
      <c r="P11" s="495"/>
      <c r="Q11" s="495" t="s">
        <v>35</v>
      </c>
      <c r="R11" s="500" t="s">
        <v>36</v>
      </c>
      <c r="S11" s="495"/>
      <c r="T11" s="495"/>
      <c r="U11" s="502"/>
      <c r="V11" s="530"/>
      <c r="W11" s="530"/>
      <c r="X11" s="145" t="s">
        <v>47</v>
      </c>
      <c r="Y11" s="145" t="s">
        <v>48</v>
      </c>
      <c r="Z11" s="286" t="s">
        <v>518</v>
      </c>
      <c r="AA11" s="562" t="s">
        <v>37</v>
      </c>
      <c r="AB11" s="562" t="s">
        <v>38</v>
      </c>
      <c r="AC11" s="562" t="s">
        <v>39</v>
      </c>
      <c r="AD11" s="562" t="s">
        <v>40</v>
      </c>
      <c r="AE11" s="562" t="s">
        <v>44</v>
      </c>
      <c r="AF11" s="562" t="s">
        <v>45</v>
      </c>
      <c r="AG11" s="563"/>
      <c r="AH11" s="563" t="s">
        <v>41</v>
      </c>
      <c r="AI11" s="558"/>
      <c r="AJ11" s="126"/>
      <c r="AK11" s="126"/>
    </row>
    <row r="12" spans="1:42" ht="0.75" customHeight="1" thickTop="1" thickBot="1" x14ac:dyDescent="0.3">
      <c r="A12" s="495"/>
      <c r="B12" s="495"/>
      <c r="C12" s="495"/>
      <c r="D12" s="495"/>
      <c r="E12" s="495"/>
      <c r="F12" s="495"/>
      <c r="G12" s="495"/>
      <c r="H12" s="495"/>
      <c r="I12" s="527"/>
      <c r="J12" s="527"/>
      <c r="K12" s="495"/>
      <c r="L12" s="495"/>
      <c r="M12" s="495"/>
      <c r="N12" s="305"/>
      <c r="O12" s="305"/>
      <c r="P12" s="495"/>
      <c r="Q12" s="495"/>
      <c r="R12" s="500"/>
      <c r="S12" s="495"/>
      <c r="T12" s="495"/>
      <c r="U12" s="506" t="s">
        <v>203</v>
      </c>
      <c r="V12" s="506" t="s">
        <v>47</v>
      </c>
      <c r="W12" s="506" t="s">
        <v>48</v>
      </c>
      <c r="X12" s="576" t="s">
        <v>49</v>
      </c>
      <c r="Y12" s="577"/>
      <c r="Z12" s="344"/>
      <c r="AA12" s="563"/>
      <c r="AB12" s="563"/>
      <c r="AC12" s="563"/>
      <c r="AD12" s="563"/>
      <c r="AE12" s="563"/>
      <c r="AF12" s="563"/>
      <c r="AG12" s="563"/>
      <c r="AH12" s="578" t="s">
        <v>50</v>
      </c>
      <c r="AI12" s="558"/>
      <c r="AL12" s="13"/>
      <c r="AM12" s="13"/>
      <c r="AN12" s="13"/>
      <c r="AO12" s="13"/>
      <c r="AP12" s="13"/>
    </row>
    <row r="13" spans="1:42" s="13" customFormat="1" ht="0.75" customHeight="1" thickTop="1" thickBot="1" x14ac:dyDescent="0.3">
      <c r="A13" s="495"/>
      <c r="B13" s="495"/>
      <c r="C13" s="495"/>
      <c r="D13" s="495"/>
      <c r="E13" s="495"/>
      <c r="F13" s="495"/>
      <c r="G13" s="495"/>
      <c r="H13" s="495"/>
      <c r="I13" s="527"/>
      <c r="J13" s="527"/>
      <c r="K13" s="495"/>
      <c r="L13" s="495"/>
      <c r="M13" s="495"/>
      <c r="N13" s="305"/>
      <c r="O13" s="305"/>
      <c r="P13" s="495"/>
      <c r="Q13" s="495"/>
      <c r="R13" s="500"/>
      <c r="S13" s="495"/>
      <c r="T13" s="495"/>
      <c r="U13" s="507"/>
      <c r="V13" s="507"/>
      <c r="W13" s="507"/>
      <c r="X13" s="111"/>
      <c r="Y13" s="287"/>
      <c r="Z13" s="345"/>
      <c r="AA13" s="563"/>
      <c r="AB13" s="563"/>
      <c r="AC13" s="563"/>
      <c r="AD13" s="563"/>
      <c r="AE13" s="563"/>
      <c r="AF13" s="563"/>
      <c r="AG13" s="563"/>
      <c r="AH13" s="578"/>
      <c r="AI13" s="558"/>
      <c r="AJ13" s="22"/>
      <c r="AK13" s="22"/>
    </row>
    <row r="14" spans="1:42" ht="37.9" customHeight="1" thickTop="1" thickBot="1" x14ac:dyDescent="0.3">
      <c r="A14" s="495"/>
      <c r="B14" s="495"/>
      <c r="C14" s="495"/>
      <c r="D14" s="495"/>
      <c r="E14" s="495"/>
      <c r="F14" s="495"/>
      <c r="G14" s="495"/>
      <c r="H14" s="495"/>
      <c r="I14" s="527"/>
      <c r="J14" s="527"/>
      <c r="K14" s="495"/>
      <c r="L14" s="495"/>
      <c r="M14" s="495"/>
      <c r="N14" s="305"/>
      <c r="O14" s="305"/>
      <c r="P14" s="495"/>
      <c r="Q14" s="495"/>
      <c r="R14" s="500"/>
      <c r="S14" s="495">
        <v>2017</v>
      </c>
      <c r="T14" s="495">
        <v>2019</v>
      </c>
      <c r="U14" s="507"/>
      <c r="V14" s="507"/>
      <c r="W14" s="507"/>
      <c r="X14" s="304"/>
      <c r="Y14" s="337"/>
      <c r="Z14" s="307"/>
      <c r="AA14" s="563"/>
      <c r="AB14" s="563"/>
      <c r="AC14" s="563"/>
      <c r="AD14" s="563"/>
      <c r="AE14" s="563"/>
      <c r="AF14" s="563"/>
      <c r="AG14" s="563"/>
      <c r="AH14" s="579" t="s">
        <v>50</v>
      </c>
      <c r="AI14" s="558"/>
      <c r="AL14" s="13"/>
      <c r="AM14" s="13"/>
      <c r="AN14" s="13"/>
      <c r="AO14" s="13"/>
      <c r="AP14" s="13"/>
    </row>
    <row r="15" spans="1:42" s="1" customFormat="1" ht="24" customHeight="1" thickTop="1" thickBot="1" x14ac:dyDescent="0.3">
      <c r="A15" s="580" t="s">
        <v>204</v>
      </c>
      <c r="B15" s="581"/>
      <c r="C15" s="581"/>
      <c r="D15" s="581"/>
      <c r="E15" s="581"/>
      <c r="F15" s="581"/>
      <c r="G15" s="581"/>
      <c r="H15" s="581"/>
      <c r="I15" s="581"/>
      <c r="J15" s="581"/>
      <c r="K15" s="581"/>
      <c r="L15" s="581"/>
      <c r="M15" s="581"/>
      <c r="N15" s="581"/>
      <c r="O15" s="581"/>
      <c r="P15" s="581"/>
      <c r="Q15" s="581"/>
      <c r="R15" s="581"/>
      <c r="S15" s="581"/>
      <c r="T15" s="581"/>
      <c r="U15" s="581"/>
      <c r="V15" s="581"/>
      <c r="W15" s="581"/>
      <c r="X15" s="581"/>
      <c r="Y15" s="582"/>
      <c r="Z15" s="346"/>
      <c r="AA15" s="115">
        <f>SUM(AA16)</f>
        <v>152736625.63999999</v>
      </c>
      <c r="AB15" s="115">
        <f t="shared" ref="AB15:AC15" si="0">SUM(AB16)</f>
        <v>-18552037.300000001</v>
      </c>
      <c r="AC15" s="115">
        <f t="shared" si="0"/>
        <v>134184588.33999999</v>
      </c>
      <c r="AD15" s="115"/>
      <c r="AE15" s="124">
        <f t="shared" ref="AE15:AF15" si="1">SUM(AE16)</f>
        <v>33876561.979999997</v>
      </c>
      <c r="AF15" s="124">
        <f t="shared" si="1"/>
        <v>20425764.969999999</v>
      </c>
      <c r="AG15" s="124">
        <f>SUM(AG16)</f>
        <v>54302326.949999996</v>
      </c>
      <c r="AH15" s="114"/>
      <c r="AI15" s="559"/>
      <c r="AJ15" s="22"/>
      <c r="AK15" s="22"/>
      <c r="AL15" s="13"/>
      <c r="AM15" s="13"/>
      <c r="AN15" s="13"/>
      <c r="AO15" s="13"/>
      <c r="AP15" s="13"/>
    </row>
    <row r="16" spans="1:42" s="27" customFormat="1" ht="409.6" customHeight="1" thickTop="1" thickBot="1" x14ac:dyDescent="0.3">
      <c r="A16" s="233" t="s">
        <v>52</v>
      </c>
      <c r="B16" s="234" t="s">
        <v>53</v>
      </c>
      <c r="C16" s="235" t="s">
        <v>54</v>
      </c>
      <c r="D16" s="235" t="s">
        <v>55</v>
      </c>
      <c r="E16" s="235" t="s">
        <v>56</v>
      </c>
      <c r="F16" s="236" t="s">
        <v>57</v>
      </c>
      <c r="G16" s="237" t="s">
        <v>58</v>
      </c>
      <c r="H16" s="238" t="s">
        <v>59</v>
      </c>
      <c r="I16" s="238" t="s">
        <v>60</v>
      </c>
      <c r="J16" s="238" t="s">
        <v>205</v>
      </c>
      <c r="K16" s="235" t="s">
        <v>206</v>
      </c>
      <c r="L16" s="233" t="s">
        <v>207</v>
      </c>
      <c r="M16" s="233" t="s">
        <v>208</v>
      </c>
      <c r="N16" s="233" t="s">
        <v>209</v>
      </c>
      <c r="O16" s="239">
        <v>1</v>
      </c>
      <c r="P16" s="240" t="s">
        <v>210</v>
      </c>
      <c r="Q16" s="240" t="s">
        <v>136</v>
      </c>
      <c r="R16" s="240" t="s">
        <v>136</v>
      </c>
      <c r="S16" s="240" t="s">
        <v>211</v>
      </c>
      <c r="T16" s="240" t="s">
        <v>136</v>
      </c>
      <c r="U16" s="239">
        <v>1</v>
      </c>
      <c r="V16" s="239">
        <v>0.5</v>
      </c>
      <c r="W16" s="239">
        <v>0.5</v>
      </c>
      <c r="X16" s="239">
        <v>0.5</v>
      </c>
      <c r="Y16" s="239">
        <v>0.25</v>
      </c>
      <c r="Z16" s="290">
        <f>+X16+Y16</f>
        <v>0.75</v>
      </c>
      <c r="AA16" s="241">
        <v>152736625.63999999</v>
      </c>
      <c r="AB16" s="241">
        <f>+-19802037.3+1250000</f>
        <v>-18552037.300000001</v>
      </c>
      <c r="AC16" s="241">
        <f>+AA16+AB16</f>
        <v>134184588.33999999</v>
      </c>
      <c r="AD16" s="242" t="s">
        <v>212</v>
      </c>
      <c r="AE16" s="242">
        <f>27794640.24+ 6081921.74</f>
        <v>33876561.979999997</v>
      </c>
      <c r="AF16" s="242">
        <f>13395090.63+7030674.34</f>
        <v>20425764.969999999</v>
      </c>
      <c r="AG16" s="242">
        <f>+AE16+AF16</f>
        <v>54302326.949999996</v>
      </c>
      <c r="AH16" s="233" t="s">
        <v>213</v>
      </c>
      <c r="AI16" s="297" t="s">
        <v>214</v>
      </c>
      <c r="AL16" s="243" t="s">
        <v>215</v>
      </c>
      <c r="AM16" s="244">
        <f>47271652.61-AG16</f>
        <v>-7030674.3399999961</v>
      </c>
      <c r="AP16" s="13"/>
    </row>
    <row r="17" spans="1:47" s="119" customFormat="1" ht="20.45" customHeight="1" thickTop="1" thickBot="1" x14ac:dyDescent="0.3">
      <c r="A17" s="583" t="s">
        <v>216</v>
      </c>
      <c r="B17" s="584"/>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340"/>
      <c r="AA17" s="151">
        <f>SUM(AA18:AA21)</f>
        <v>170581897.40600002</v>
      </c>
      <c r="AB17" s="151">
        <f>SUM(AB18:AB21)</f>
        <v>-21836414.32</v>
      </c>
      <c r="AC17" s="151">
        <f>SUM(AC18:AC21)</f>
        <v>148745483.086</v>
      </c>
      <c r="AD17" s="116"/>
      <c r="AE17" s="116">
        <f>SUM(AE18:AE21)</f>
        <v>27889773.830000002</v>
      </c>
      <c r="AF17" s="116">
        <f>SUM(AF18:AF21)</f>
        <v>11309426.629999999</v>
      </c>
      <c r="AG17" s="116">
        <f>SUM(AG18:AG21)</f>
        <v>39199200.460000001</v>
      </c>
      <c r="AH17" s="117"/>
      <c r="AI17" s="303"/>
      <c r="AJ17" s="118"/>
      <c r="AK17" s="118"/>
      <c r="AP17" s="27"/>
    </row>
    <row r="18" spans="1:47" s="27" customFormat="1" ht="409.5" x14ac:dyDescent="0.25">
      <c r="A18" s="233" t="s">
        <v>52</v>
      </c>
      <c r="B18" s="234" t="s">
        <v>53</v>
      </c>
      <c r="C18" s="235" t="s">
        <v>54</v>
      </c>
      <c r="D18" s="235" t="s">
        <v>55</v>
      </c>
      <c r="E18" s="235" t="s">
        <v>56</v>
      </c>
      <c r="F18" s="236" t="s">
        <v>57</v>
      </c>
      <c r="G18" s="237" t="s">
        <v>58</v>
      </c>
      <c r="H18" s="238" t="s">
        <v>59</v>
      </c>
      <c r="I18" s="238" t="s">
        <v>60</v>
      </c>
      <c r="J18" s="238" t="s">
        <v>205</v>
      </c>
      <c r="K18" s="235" t="s">
        <v>56</v>
      </c>
      <c r="L18" s="233" t="s">
        <v>217</v>
      </c>
      <c r="M18" s="233" t="s">
        <v>218</v>
      </c>
      <c r="N18" s="233" t="s">
        <v>219</v>
      </c>
      <c r="O18" s="240">
        <v>4</v>
      </c>
      <c r="P18" s="240" t="s">
        <v>210</v>
      </c>
      <c r="Q18" s="240"/>
      <c r="R18" s="240"/>
      <c r="S18" s="240" t="s">
        <v>220</v>
      </c>
      <c r="T18" s="240">
        <v>0</v>
      </c>
      <c r="U18" s="240">
        <f>+V18+W18</f>
        <v>4</v>
      </c>
      <c r="V18" s="240">
        <v>1</v>
      </c>
      <c r="W18" s="240">
        <v>3</v>
      </c>
      <c r="X18" s="240">
        <v>0</v>
      </c>
      <c r="Y18" s="240">
        <v>0</v>
      </c>
      <c r="Z18" s="288">
        <f>+X18+Y18</f>
        <v>0</v>
      </c>
      <c r="AA18" s="241">
        <f>60443253.8565+19366379.48</f>
        <v>79809633.336500004</v>
      </c>
      <c r="AB18" s="241"/>
      <c r="AC18" s="241">
        <f>+AA18+AB18</f>
        <v>79809633.336500004</v>
      </c>
      <c r="AD18" s="242" t="s">
        <v>221</v>
      </c>
      <c r="AE18" s="242"/>
      <c r="AF18" s="242"/>
      <c r="AG18" s="242">
        <f t="shared" ref="AG18:AG20" si="2">+AE18+AF18</f>
        <v>0</v>
      </c>
      <c r="AH18" s="233" t="s">
        <v>222</v>
      </c>
      <c r="AI18" s="293" t="s">
        <v>223</v>
      </c>
      <c r="AM18" s="245">
        <f>35224834.64-AG17</f>
        <v>-3974365.8200000003</v>
      </c>
      <c r="AP18" s="119"/>
      <c r="AS18" s="119"/>
    </row>
    <row r="19" spans="1:47" s="27" customFormat="1" ht="178.5" customHeight="1" thickTop="1" thickBot="1" x14ac:dyDescent="0.3">
      <c r="A19" s="233" t="s">
        <v>52</v>
      </c>
      <c r="B19" s="234" t="s">
        <v>53</v>
      </c>
      <c r="C19" s="235" t="s">
        <v>54</v>
      </c>
      <c r="D19" s="235" t="s">
        <v>55</v>
      </c>
      <c r="E19" s="235" t="s">
        <v>56</v>
      </c>
      <c r="F19" s="236" t="s">
        <v>57</v>
      </c>
      <c r="G19" s="237" t="s">
        <v>58</v>
      </c>
      <c r="H19" s="238" t="s">
        <v>59</v>
      </c>
      <c r="I19" s="238" t="s">
        <v>60</v>
      </c>
      <c r="J19" s="238" t="s">
        <v>205</v>
      </c>
      <c r="K19" s="235" t="s">
        <v>56</v>
      </c>
      <c r="L19" s="233" t="s">
        <v>217</v>
      </c>
      <c r="M19" s="233" t="s">
        <v>224</v>
      </c>
      <c r="N19" s="233" t="s">
        <v>225</v>
      </c>
      <c r="O19" s="240">
        <v>4</v>
      </c>
      <c r="P19" s="240" t="s">
        <v>98</v>
      </c>
      <c r="Q19" s="240" t="s">
        <v>136</v>
      </c>
      <c r="R19" s="240" t="s">
        <v>136</v>
      </c>
      <c r="S19" s="240" t="s">
        <v>226</v>
      </c>
      <c r="T19" s="240">
        <v>0</v>
      </c>
      <c r="U19" s="240">
        <f t="shared" ref="U19:U21" si="3">+V19+W19</f>
        <v>4</v>
      </c>
      <c r="V19" s="240">
        <v>2</v>
      </c>
      <c r="W19" s="240">
        <v>2</v>
      </c>
      <c r="X19" s="240">
        <v>0</v>
      </c>
      <c r="Y19" s="240">
        <v>0</v>
      </c>
      <c r="Z19" s="288">
        <f>+X19+Y19</f>
        <v>0</v>
      </c>
      <c r="AA19" s="241">
        <f>3265952.3139+19366379.48</f>
        <v>22632331.793900002</v>
      </c>
      <c r="AB19" s="241">
        <v>-5000000</v>
      </c>
      <c r="AC19" s="241">
        <f>+AA19+AB19</f>
        <v>17632331.793900002</v>
      </c>
      <c r="AD19" s="242" t="s">
        <v>221</v>
      </c>
      <c r="AE19" s="242"/>
      <c r="AF19" s="242"/>
      <c r="AG19" s="242">
        <f>+AE19+AF19</f>
        <v>0</v>
      </c>
      <c r="AH19" s="233" t="s">
        <v>222</v>
      </c>
      <c r="AI19" s="293" t="s">
        <v>227</v>
      </c>
    </row>
    <row r="20" spans="1:47" s="27" customFormat="1" ht="230.25" customHeight="1" thickTop="1" thickBot="1" x14ac:dyDescent="0.3">
      <c r="A20" s="233" t="s">
        <v>52</v>
      </c>
      <c r="B20" s="234" t="s">
        <v>53</v>
      </c>
      <c r="C20" s="235" t="s">
        <v>54</v>
      </c>
      <c r="D20" s="235" t="s">
        <v>55</v>
      </c>
      <c r="E20" s="235" t="s">
        <v>56</v>
      </c>
      <c r="F20" s="236" t="s">
        <v>57</v>
      </c>
      <c r="G20" s="237" t="s">
        <v>58</v>
      </c>
      <c r="H20" s="238" t="s">
        <v>59</v>
      </c>
      <c r="I20" s="238" t="s">
        <v>60</v>
      </c>
      <c r="J20" s="238" t="s">
        <v>205</v>
      </c>
      <c r="K20" s="235" t="s">
        <v>56</v>
      </c>
      <c r="L20" s="233" t="s">
        <v>217</v>
      </c>
      <c r="M20" s="233" t="s">
        <v>228</v>
      </c>
      <c r="N20" s="233" t="s">
        <v>229</v>
      </c>
      <c r="O20" s="240">
        <v>4</v>
      </c>
      <c r="P20" s="240" t="s">
        <v>98</v>
      </c>
      <c r="Q20" s="240" t="s">
        <v>136</v>
      </c>
      <c r="R20" s="240" t="s">
        <v>136</v>
      </c>
      <c r="S20" s="240" t="s">
        <v>230</v>
      </c>
      <c r="T20" s="240">
        <v>0</v>
      </c>
      <c r="U20" s="240">
        <f t="shared" si="3"/>
        <v>4</v>
      </c>
      <c r="V20" s="240">
        <v>1</v>
      </c>
      <c r="W20" s="240">
        <v>3</v>
      </c>
      <c r="X20" s="240">
        <v>0</v>
      </c>
      <c r="Y20" s="240">
        <v>0</v>
      </c>
      <c r="Z20" s="288">
        <f t="shared" ref="Z20:Z21" si="4">+X20+Y20</f>
        <v>0</v>
      </c>
      <c r="AA20" s="241">
        <f>10354603.0852+19366379.48-2823015.42</f>
        <v>26897967.145199999</v>
      </c>
      <c r="AB20" s="241">
        <v>-10000000</v>
      </c>
      <c r="AC20" s="241">
        <f>+AA20+AB20</f>
        <v>16897967.145199999</v>
      </c>
      <c r="AD20" s="242" t="s">
        <v>221</v>
      </c>
      <c r="AE20" s="242"/>
      <c r="AF20" s="242"/>
      <c r="AG20" s="242">
        <f t="shared" si="2"/>
        <v>0</v>
      </c>
      <c r="AH20" s="233" t="s">
        <v>222</v>
      </c>
      <c r="AI20" s="293" t="s">
        <v>231</v>
      </c>
    </row>
    <row r="21" spans="1:47" s="27" customFormat="1" ht="195" customHeight="1" thickTop="1" thickBot="1" x14ac:dyDescent="0.3">
      <c r="A21" s="233" t="s">
        <v>52</v>
      </c>
      <c r="B21" s="234" t="s">
        <v>53</v>
      </c>
      <c r="C21" s="235" t="s">
        <v>54</v>
      </c>
      <c r="D21" s="235" t="s">
        <v>55</v>
      </c>
      <c r="E21" s="235" t="s">
        <v>56</v>
      </c>
      <c r="F21" s="236" t="s">
        <v>57</v>
      </c>
      <c r="G21" s="237" t="s">
        <v>58</v>
      </c>
      <c r="H21" s="238" t="s">
        <v>59</v>
      </c>
      <c r="I21" s="238" t="s">
        <v>60</v>
      </c>
      <c r="J21" s="238" t="s">
        <v>205</v>
      </c>
      <c r="K21" s="235" t="s">
        <v>56</v>
      </c>
      <c r="L21" s="233" t="s">
        <v>217</v>
      </c>
      <c r="M21" s="233" t="s">
        <v>232</v>
      </c>
      <c r="N21" s="233" t="s">
        <v>233</v>
      </c>
      <c r="O21" s="239">
        <v>1</v>
      </c>
      <c r="P21" s="240"/>
      <c r="Q21" s="240"/>
      <c r="R21" s="240"/>
      <c r="S21" s="240" t="s">
        <v>234</v>
      </c>
      <c r="T21" s="240">
        <v>0</v>
      </c>
      <c r="U21" s="246">
        <f t="shared" si="3"/>
        <v>1</v>
      </c>
      <c r="V21" s="246">
        <v>0.5</v>
      </c>
      <c r="W21" s="246">
        <v>0.5</v>
      </c>
      <c r="X21" s="239">
        <v>0.5</v>
      </c>
      <c r="Y21" s="239">
        <v>0.25</v>
      </c>
      <c r="Z21" s="348">
        <f t="shared" si="4"/>
        <v>0.75</v>
      </c>
      <c r="AA21" s="241">
        <f>2509206.1704+38732758.96</f>
        <v>41241965.130400002</v>
      </c>
      <c r="AB21" s="241">
        <f>+-7373314.32+536900</f>
        <v>-6836414.3200000003</v>
      </c>
      <c r="AC21" s="241">
        <f>+AA21+AB21</f>
        <v>34405550.810400002</v>
      </c>
      <c r="AD21" s="242" t="s">
        <v>221</v>
      </c>
      <c r="AE21" s="242">
        <f>24545816.12+113100+ 3230857.71</f>
        <v>27889773.830000002</v>
      </c>
      <c r="AF21" s="242">
        <f>7335060.81+3974365.82</f>
        <v>11309426.629999999</v>
      </c>
      <c r="AG21" s="242">
        <f>+AE21+AF21</f>
        <v>39199200.460000001</v>
      </c>
      <c r="AH21" s="233" t="s">
        <v>222</v>
      </c>
      <c r="AI21" s="293" t="s">
        <v>235</v>
      </c>
    </row>
    <row r="22" spans="1:47" s="123" customFormat="1" ht="23.25" customHeight="1" thickTop="1" thickBot="1" x14ac:dyDescent="0.3">
      <c r="A22" s="572" t="s">
        <v>236</v>
      </c>
      <c r="B22" s="573"/>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338"/>
      <c r="AA22" s="152">
        <f>SUM(AA23:AA27)</f>
        <v>9039382878.9799995</v>
      </c>
      <c r="AB22" s="152">
        <f>SUM(AB23:AB27)</f>
        <v>5899357518.6899996</v>
      </c>
      <c r="AC22" s="152">
        <f>SUM(AC23:AC27)</f>
        <v>14938740397.670002</v>
      </c>
      <c r="AD22" s="120"/>
      <c r="AE22" s="120">
        <f t="shared" ref="AE22" si="5">SUM(AE23:AE27)</f>
        <v>4502658435.1499996</v>
      </c>
      <c r="AF22" s="120">
        <f t="shared" ref="AF22" si="6">SUM(AF23:AF27)</f>
        <v>571996745.87</v>
      </c>
      <c r="AG22" s="120">
        <f t="shared" ref="AG22" si="7">SUM(AG23:AG27)</f>
        <v>5074655181.0200005</v>
      </c>
      <c r="AH22" s="121"/>
      <c r="AI22" s="660"/>
      <c r="AJ22" s="122"/>
      <c r="AK22" s="122"/>
      <c r="AP22" s="27"/>
      <c r="AS22" s="27"/>
    </row>
    <row r="23" spans="1:47" s="27" customFormat="1" ht="409.6" customHeight="1" thickTop="1" thickBot="1" x14ac:dyDescent="0.3">
      <c r="A23" s="233" t="s">
        <v>52</v>
      </c>
      <c r="B23" s="234" t="s">
        <v>53</v>
      </c>
      <c r="C23" s="235" t="s">
        <v>54</v>
      </c>
      <c r="D23" s="235" t="s">
        <v>55</v>
      </c>
      <c r="E23" s="235" t="s">
        <v>56</v>
      </c>
      <c r="F23" s="236" t="s">
        <v>57</v>
      </c>
      <c r="G23" s="237" t="s">
        <v>58</v>
      </c>
      <c r="H23" s="238" t="s">
        <v>59</v>
      </c>
      <c r="I23" s="238" t="s">
        <v>60</v>
      </c>
      <c r="J23" s="238" t="s">
        <v>237</v>
      </c>
      <c r="K23" s="235" t="s">
        <v>238</v>
      </c>
      <c r="L23" s="233" t="s">
        <v>239</v>
      </c>
      <c r="M23" s="233" t="s">
        <v>240</v>
      </c>
      <c r="N23" s="233" t="s">
        <v>241</v>
      </c>
      <c r="O23" s="240">
        <v>10</v>
      </c>
      <c r="P23" s="240" t="s">
        <v>242</v>
      </c>
      <c r="Q23" s="240" t="s">
        <v>136</v>
      </c>
      <c r="R23" s="240" t="s">
        <v>136</v>
      </c>
      <c r="S23" s="240" t="s">
        <v>243</v>
      </c>
      <c r="T23" s="240">
        <v>2019</v>
      </c>
      <c r="U23" s="239">
        <v>1</v>
      </c>
      <c r="V23" s="239">
        <v>0.25</v>
      </c>
      <c r="W23" s="239">
        <v>0.75</v>
      </c>
      <c r="X23" s="247">
        <v>0.30199999999999999</v>
      </c>
      <c r="Y23" s="247">
        <v>4.0399999999999998E-2</v>
      </c>
      <c r="Z23" s="350">
        <f>+X23+Y23</f>
        <v>0.34239999999999998</v>
      </c>
      <c r="AA23" s="241">
        <f>8174814630.11-300000000</f>
        <v>7874814630.1099997</v>
      </c>
      <c r="AB23" s="241">
        <v>5821641806.5900002</v>
      </c>
      <c r="AC23" s="241">
        <f>+AA23+AB23</f>
        <v>13696456436.700001</v>
      </c>
      <c r="AD23" s="242" t="s">
        <v>212</v>
      </c>
      <c r="AE23" s="242">
        <f>3681882693.47+ 545116314.59</f>
        <v>4226999008.0599999</v>
      </c>
      <c r="AF23" s="242">
        <v>463070341.79000002</v>
      </c>
      <c r="AG23" s="242">
        <f>+AE23+AF23</f>
        <v>4690069349.8500004</v>
      </c>
      <c r="AH23" s="233" t="s">
        <v>244</v>
      </c>
      <c r="AI23" s="293" t="s">
        <v>245</v>
      </c>
      <c r="AJ23" s="349">
        <f>+AG23/AC23</f>
        <v>0.34242939927752708</v>
      </c>
      <c r="AM23" s="245">
        <f>5043361950.3-AG22</f>
        <v>-31293230.720000267</v>
      </c>
      <c r="AN23" s="249">
        <f>14732932092.67-AC22</f>
        <v>-205808305.00000191</v>
      </c>
      <c r="AP23" s="123"/>
      <c r="AS23" s="123"/>
    </row>
    <row r="24" spans="1:47" s="27" customFormat="1" ht="366.75" customHeight="1" thickTop="1" thickBot="1" x14ac:dyDescent="0.3">
      <c r="A24" s="250" t="s">
        <v>52</v>
      </c>
      <c r="B24" s="251" t="s">
        <v>53</v>
      </c>
      <c r="C24" s="252" t="s">
        <v>54</v>
      </c>
      <c r="D24" s="252" t="s">
        <v>55</v>
      </c>
      <c r="E24" s="252" t="s">
        <v>56</v>
      </c>
      <c r="F24" s="253" t="s">
        <v>57</v>
      </c>
      <c r="G24" s="254" t="s">
        <v>58</v>
      </c>
      <c r="H24" s="238" t="s">
        <v>59</v>
      </c>
      <c r="I24" s="255" t="s">
        <v>60</v>
      </c>
      <c r="J24" s="238" t="s">
        <v>237</v>
      </c>
      <c r="K24" s="235" t="s">
        <v>238</v>
      </c>
      <c r="L24" s="250" t="s">
        <v>239</v>
      </c>
      <c r="M24" s="250" t="s">
        <v>246</v>
      </c>
      <c r="N24" s="250" t="s">
        <v>247</v>
      </c>
      <c r="O24" s="256">
        <v>3</v>
      </c>
      <c r="P24" s="256" t="s">
        <v>242</v>
      </c>
      <c r="Q24" s="256" t="s">
        <v>248</v>
      </c>
      <c r="R24" s="256" t="s">
        <v>248</v>
      </c>
      <c r="S24" s="256" t="s">
        <v>249</v>
      </c>
      <c r="T24" s="256">
        <v>2019</v>
      </c>
      <c r="U24" s="239">
        <v>1</v>
      </c>
      <c r="V24" s="239">
        <v>0.25</v>
      </c>
      <c r="W24" s="239">
        <v>0.75</v>
      </c>
      <c r="X24" s="247">
        <v>0</v>
      </c>
      <c r="Y24" s="247">
        <v>0</v>
      </c>
      <c r="Z24" s="289"/>
      <c r="AA24" s="257">
        <v>300000000</v>
      </c>
      <c r="AB24" s="257"/>
      <c r="AC24" s="241">
        <f>+AA24+AB24</f>
        <v>300000000</v>
      </c>
      <c r="AD24" s="242" t="s">
        <v>212</v>
      </c>
      <c r="AE24" s="258"/>
      <c r="AF24" s="258"/>
      <c r="AG24" s="242">
        <f t="shared" ref="AG24:AG27" si="8">+AE24+AF24</f>
        <v>0</v>
      </c>
      <c r="AH24" s="233" t="s">
        <v>250</v>
      </c>
      <c r="AI24" s="293" t="s">
        <v>251</v>
      </c>
      <c r="AM24" s="249">
        <f>14732932092.67-AC22</f>
        <v>-205808305.00000191</v>
      </c>
    </row>
    <row r="25" spans="1:47" s="28" customFormat="1" ht="305.25" customHeight="1" thickTop="1" thickBot="1" x14ac:dyDescent="0.3">
      <c r="A25" s="233" t="s">
        <v>52</v>
      </c>
      <c r="B25" s="234" t="s">
        <v>53</v>
      </c>
      <c r="C25" s="235" t="s">
        <v>54</v>
      </c>
      <c r="D25" s="235" t="s">
        <v>55</v>
      </c>
      <c r="E25" s="235" t="s">
        <v>56</v>
      </c>
      <c r="F25" s="236" t="s">
        <v>57</v>
      </c>
      <c r="G25" s="237" t="s">
        <v>58</v>
      </c>
      <c r="H25" s="238" t="s">
        <v>59</v>
      </c>
      <c r="I25" s="238" t="s">
        <v>60</v>
      </c>
      <c r="J25" s="238" t="s">
        <v>205</v>
      </c>
      <c r="K25" s="235" t="s">
        <v>252</v>
      </c>
      <c r="L25" s="233" t="s">
        <v>239</v>
      </c>
      <c r="M25" s="233" t="s">
        <v>253</v>
      </c>
      <c r="N25" s="233" t="s">
        <v>254</v>
      </c>
      <c r="O25" s="239">
        <v>1</v>
      </c>
      <c r="P25" s="240" t="s">
        <v>242</v>
      </c>
      <c r="Q25" s="240" t="s">
        <v>136</v>
      </c>
      <c r="R25" s="240" t="s">
        <v>136</v>
      </c>
      <c r="S25" s="240" t="s">
        <v>255</v>
      </c>
      <c r="T25" s="240">
        <v>2019</v>
      </c>
      <c r="U25" s="239">
        <v>1</v>
      </c>
      <c r="V25" s="239">
        <v>0.25</v>
      </c>
      <c r="W25" s="239">
        <v>0.75</v>
      </c>
      <c r="X25" s="239">
        <v>0.3</v>
      </c>
      <c r="Y25" s="239">
        <v>0.33</v>
      </c>
      <c r="Z25" s="239">
        <f>+X25+Y25</f>
        <v>0.63</v>
      </c>
      <c r="AA25" s="241">
        <f>16000000+192575000+5993248.87+300000000</f>
        <v>514568248.87</v>
      </c>
      <c r="AB25" s="241">
        <f>39500000+174276594.53-39700000-91360882.43-36531710.47+49408809.02</f>
        <v>95592810.650000006</v>
      </c>
      <c r="AC25" s="241">
        <f>+AA25+AB25</f>
        <v>610161059.51999998</v>
      </c>
      <c r="AD25" s="242" t="s">
        <v>212</v>
      </c>
      <c r="AE25" s="242">
        <f>108128615.19+18850151.21+36968639.22+1329483.08+67437128.8+42945409.59</f>
        <v>275659427.09000003</v>
      </c>
      <c r="AF25" s="242">
        <f>77633173.36+31239230.72+54000</f>
        <v>108926404.08</v>
      </c>
      <c r="AG25" s="242">
        <f t="shared" si="8"/>
        <v>384585831.17000002</v>
      </c>
      <c r="AH25" s="233" t="s">
        <v>213</v>
      </c>
      <c r="AI25" s="293" t="s">
        <v>256</v>
      </c>
      <c r="AJ25" s="249">
        <f>+AG25/AC25</f>
        <v>0.63030215574973769</v>
      </c>
      <c r="AK25" s="27"/>
      <c r="AP25" s="27"/>
      <c r="AS25" s="27"/>
    </row>
    <row r="26" spans="1:47" s="28" customFormat="1" ht="409.5" customHeight="1" thickTop="1" thickBot="1" x14ac:dyDescent="0.3">
      <c r="A26" s="233" t="s">
        <v>52</v>
      </c>
      <c r="B26" s="234" t="s">
        <v>53</v>
      </c>
      <c r="C26" s="235" t="s">
        <v>54</v>
      </c>
      <c r="D26" s="235" t="s">
        <v>55</v>
      </c>
      <c r="E26" s="235" t="s">
        <v>56</v>
      </c>
      <c r="F26" s="236" t="s">
        <v>57</v>
      </c>
      <c r="G26" s="237" t="s">
        <v>58</v>
      </c>
      <c r="H26" s="238" t="s">
        <v>59</v>
      </c>
      <c r="I26" s="238" t="s">
        <v>60</v>
      </c>
      <c r="J26" s="238" t="s">
        <v>205</v>
      </c>
      <c r="K26" s="235" t="s">
        <v>56</v>
      </c>
      <c r="L26" s="233" t="s">
        <v>239</v>
      </c>
      <c r="M26" s="233" t="s">
        <v>257</v>
      </c>
      <c r="N26" s="233" t="s">
        <v>258</v>
      </c>
      <c r="O26" s="240">
        <v>1</v>
      </c>
      <c r="P26" s="240" t="s">
        <v>242</v>
      </c>
      <c r="Q26" s="240" t="s">
        <v>136</v>
      </c>
      <c r="R26" s="240" t="s">
        <v>136</v>
      </c>
      <c r="S26" s="240" t="s">
        <v>259</v>
      </c>
      <c r="T26" s="240">
        <v>2019</v>
      </c>
      <c r="U26" s="239">
        <v>1</v>
      </c>
      <c r="V26" s="239">
        <v>0.5</v>
      </c>
      <c r="W26" s="239">
        <v>0.5</v>
      </c>
      <c r="X26" s="239">
        <v>0.3</v>
      </c>
      <c r="Y26" s="239">
        <v>0</v>
      </c>
      <c r="Z26" s="290">
        <f>+X26+Y26</f>
        <v>0.3</v>
      </c>
      <c r="AA26" s="241">
        <v>250000000</v>
      </c>
      <c r="AB26" s="241">
        <f>-174276594.53+156399495.98</f>
        <v>-17877098.550000012</v>
      </c>
      <c r="AC26" s="241">
        <f t="shared" ref="AC26:AC27" si="9">+AA26+AB26</f>
        <v>232122901.44999999</v>
      </c>
      <c r="AD26" s="242" t="s">
        <v>212</v>
      </c>
      <c r="AE26" s="242"/>
      <c r="AF26" s="242"/>
      <c r="AG26" s="242">
        <f t="shared" si="8"/>
        <v>0</v>
      </c>
      <c r="AH26" s="233" t="s">
        <v>213</v>
      </c>
      <c r="AI26" s="293" t="s">
        <v>612</v>
      </c>
      <c r="AJ26" s="27"/>
      <c r="AK26" s="27"/>
    </row>
    <row r="27" spans="1:47" s="28" customFormat="1" ht="193.5" customHeight="1" thickTop="1" thickBot="1" x14ac:dyDescent="0.3">
      <c r="A27" s="233" t="s">
        <v>52</v>
      </c>
      <c r="B27" s="234" t="s">
        <v>53</v>
      </c>
      <c r="C27" s="235" t="s">
        <v>54</v>
      </c>
      <c r="D27" s="235" t="s">
        <v>55</v>
      </c>
      <c r="E27" s="235" t="s">
        <v>56</v>
      </c>
      <c r="F27" s="236" t="s">
        <v>57</v>
      </c>
      <c r="G27" s="237" t="s">
        <v>58</v>
      </c>
      <c r="H27" s="238" t="s">
        <v>59</v>
      </c>
      <c r="I27" s="238" t="s">
        <v>60</v>
      </c>
      <c r="J27" s="238" t="s">
        <v>205</v>
      </c>
      <c r="K27" s="235" t="s">
        <v>56</v>
      </c>
      <c r="L27" s="233" t="s">
        <v>239</v>
      </c>
      <c r="M27" s="233" t="s">
        <v>260</v>
      </c>
      <c r="N27" s="233" t="s">
        <v>261</v>
      </c>
      <c r="O27" s="240">
        <v>2</v>
      </c>
      <c r="P27" s="240" t="s">
        <v>242</v>
      </c>
      <c r="Q27" s="240" t="s">
        <v>136</v>
      </c>
      <c r="R27" s="240" t="s">
        <v>136</v>
      </c>
      <c r="S27" s="240" t="s">
        <v>262</v>
      </c>
      <c r="T27" s="240">
        <v>2019</v>
      </c>
      <c r="U27" s="248">
        <f>+V27+W27</f>
        <v>2</v>
      </c>
      <c r="V27" s="240">
        <v>0</v>
      </c>
      <c r="W27" s="240">
        <v>2</v>
      </c>
      <c r="X27" s="248">
        <v>0</v>
      </c>
      <c r="Y27" s="248">
        <v>0</v>
      </c>
      <c r="Z27" s="290">
        <f>+X27+Y27</f>
        <v>0</v>
      </c>
      <c r="AA27" s="241">
        <v>100000000</v>
      </c>
      <c r="AB27" s="241">
        <v>0</v>
      </c>
      <c r="AC27" s="241">
        <f t="shared" si="9"/>
        <v>100000000</v>
      </c>
      <c r="AD27" s="242" t="s">
        <v>212</v>
      </c>
      <c r="AE27" s="242"/>
      <c r="AF27" s="242"/>
      <c r="AG27" s="242">
        <f t="shared" si="8"/>
        <v>0</v>
      </c>
      <c r="AH27" s="233" t="s">
        <v>213</v>
      </c>
      <c r="AI27" s="293" t="s">
        <v>519</v>
      </c>
      <c r="AJ27" s="27"/>
      <c r="AK27" s="27"/>
    </row>
    <row r="28" spans="1:47" s="123" customFormat="1" ht="22.15" customHeight="1" thickTop="1" thickBot="1" x14ac:dyDescent="0.3">
      <c r="A28" s="572" t="s">
        <v>263</v>
      </c>
      <c r="B28" s="573"/>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338"/>
      <c r="AA28" s="152">
        <f>SUM(AA29:AA36)</f>
        <v>996475363.55999994</v>
      </c>
      <c r="AB28" s="152">
        <f>SUM(AB29:AB36)</f>
        <v>-165811968.32999998</v>
      </c>
      <c r="AC28" s="152">
        <f>SUM(AC29:AC36)</f>
        <v>830663395.23000002</v>
      </c>
      <c r="AD28" s="120"/>
      <c r="AE28" s="120">
        <f t="shared" ref="AE28:AG28" si="10">SUM(AE29:AE36)</f>
        <v>55632805.219999999</v>
      </c>
      <c r="AF28" s="120">
        <f t="shared" si="10"/>
        <v>28124250.43</v>
      </c>
      <c r="AG28" s="120">
        <f t="shared" si="10"/>
        <v>83757055.650000006</v>
      </c>
      <c r="AH28" s="121"/>
      <c r="AI28" s="660"/>
      <c r="AJ28" s="122"/>
      <c r="AK28" s="122"/>
      <c r="AM28" s="343">
        <f>79544498.01-AG28</f>
        <v>-4212557.6400000006</v>
      </c>
    </row>
    <row r="29" spans="1:47" s="28" customFormat="1" ht="249.75" customHeight="1" thickTop="1" thickBot="1" x14ac:dyDescent="0.3">
      <c r="A29" s="233" t="s">
        <v>52</v>
      </c>
      <c r="B29" s="234" t="s">
        <v>53</v>
      </c>
      <c r="C29" s="235" t="s">
        <v>54</v>
      </c>
      <c r="D29" s="235" t="s">
        <v>55</v>
      </c>
      <c r="E29" s="235" t="s">
        <v>56</v>
      </c>
      <c r="F29" s="236" t="s">
        <v>57</v>
      </c>
      <c r="G29" s="237" t="s">
        <v>58</v>
      </c>
      <c r="H29" s="238" t="s">
        <v>59</v>
      </c>
      <c r="I29" s="238" t="s">
        <v>60</v>
      </c>
      <c r="J29" s="238" t="s">
        <v>205</v>
      </c>
      <c r="K29" s="235" t="s">
        <v>56</v>
      </c>
      <c r="L29" s="233" t="s">
        <v>264</v>
      </c>
      <c r="M29" s="233" t="s">
        <v>265</v>
      </c>
      <c r="N29" s="233" t="s">
        <v>266</v>
      </c>
      <c r="O29" s="240">
        <v>2</v>
      </c>
      <c r="P29" s="240" t="s">
        <v>267</v>
      </c>
      <c r="Q29" s="240" t="s">
        <v>136</v>
      </c>
      <c r="R29" s="240" t="s">
        <v>136</v>
      </c>
      <c r="S29" s="240" t="s">
        <v>259</v>
      </c>
      <c r="T29" s="240">
        <v>2019</v>
      </c>
      <c r="U29" s="239">
        <v>0.25</v>
      </c>
      <c r="V29" s="269">
        <v>0.125</v>
      </c>
      <c r="W29" s="269">
        <v>0.125</v>
      </c>
      <c r="X29" s="269">
        <v>0</v>
      </c>
      <c r="Y29" s="239">
        <v>1</v>
      </c>
      <c r="Z29" s="290">
        <f>+X29+Y29</f>
        <v>1</v>
      </c>
      <c r="AA29" s="270">
        <v>10000000</v>
      </c>
      <c r="AB29" s="270">
        <v>-8333228.6900000004</v>
      </c>
      <c r="AC29" s="270">
        <f t="shared" ref="AC29:AC34" si="11">+AA29+AB29</f>
        <v>1666771.3099999996</v>
      </c>
      <c r="AD29" s="242" t="s">
        <v>614</v>
      </c>
      <c r="AE29" s="242"/>
      <c r="AF29" s="242"/>
      <c r="AG29" s="242">
        <f t="shared" ref="AG29:AG35" si="12">+AE29+AF29</f>
        <v>0</v>
      </c>
      <c r="AH29" s="233" t="s">
        <v>213</v>
      </c>
      <c r="AI29" s="293" t="s">
        <v>613</v>
      </c>
      <c r="AJ29" s="27"/>
      <c r="AK29" s="27"/>
    </row>
    <row r="30" spans="1:47" s="28" customFormat="1" ht="233.45" hidden="1" customHeight="1" thickTop="1" thickBot="1" x14ac:dyDescent="0.3">
      <c r="A30" s="259" t="s">
        <v>52</v>
      </c>
      <c r="B30" s="260" t="s">
        <v>53</v>
      </c>
      <c r="C30" s="261" t="s">
        <v>54</v>
      </c>
      <c r="D30" s="261" t="s">
        <v>55</v>
      </c>
      <c r="E30" s="261" t="s">
        <v>56</v>
      </c>
      <c r="F30" s="262" t="s">
        <v>57</v>
      </c>
      <c r="G30" s="263" t="s">
        <v>58</v>
      </c>
      <c r="H30" s="264" t="s">
        <v>59</v>
      </c>
      <c r="I30" s="264" t="s">
        <v>60</v>
      </c>
      <c r="J30" s="264" t="s">
        <v>205</v>
      </c>
      <c r="K30" s="261" t="s">
        <v>268</v>
      </c>
      <c r="L30" s="259" t="s">
        <v>264</v>
      </c>
      <c r="M30" s="261" t="s">
        <v>269</v>
      </c>
      <c r="N30" s="259" t="s">
        <v>270</v>
      </c>
      <c r="O30" s="271">
        <v>1</v>
      </c>
      <c r="P30" s="265" t="s">
        <v>267</v>
      </c>
      <c r="Q30" s="265" t="s">
        <v>136</v>
      </c>
      <c r="R30" s="265" t="s">
        <v>136</v>
      </c>
      <c r="S30" s="265" t="s">
        <v>271</v>
      </c>
      <c r="T30" s="265">
        <v>1</v>
      </c>
      <c r="U30" s="271">
        <v>1</v>
      </c>
      <c r="V30" s="272"/>
      <c r="W30" s="271">
        <v>1</v>
      </c>
      <c r="X30" s="272"/>
      <c r="Y30" s="288"/>
      <c r="Z30" s="288"/>
      <c r="AA30" s="267">
        <v>20000000</v>
      </c>
      <c r="AB30" s="267">
        <v>-20000000</v>
      </c>
      <c r="AC30" s="267">
        <f t="shared" si="11"/>
        <v>0</v>
      </c>
      <c r="AD30" s="268" t="s">
        <v>212</v>
      </c>
      <c r="AE30" s="268"/>
      <c r="AF30" s="268"/>
      <c r="AG30" s="268">
        <f t="shared" si="12"/>
        <v>0</v>
      </c>
      <c r="AH30" s="259" t="s">
        <v>213</v>
      </c>
      <c r="AI30" s="293" t="s">
        <v>272</v>
      </c>
      <c r="AJ30" s="27"/>
      <c r="AK30" s="27"/>
      <c r="AL30" s="27"/>
      <c r="AM30" s="27"/>
      <c r="AN30" s="27"/>
      <c r="AO30" s="27"/>
      <c r="AQ30" s="27"/>
      <c r="AR30" s="27"/>
      <c r="AT30" s="27"/>
      <c r="AU30" s="27"/>
    </row>
    <row r="31" spans="1:47" s="28" customFormat="1" ht="340.5" hidden="1" customHeight="1" thickTop="1" thickBot="1" x14ac:dyDescent="0.3">
      <c r="A31" s="259" t="s">
        <v>52</v>
      </c>
      <c r="B31" s="260" t="s">
        <v>53</v>
      </c>
      <c r="C31" s="261" t="s">
        <v>54</v>
      </c>
      <c r="D31" s="261" t="s">
        <v>55</v>
      </c>
      <c r="E31" s="261" t="s">
        <v>56</v>
      </c>
      <c r="F31" s="262" t="s">
        <v>57</v>
      </c>
      <c r="G31" s="263" t="s">
        <v>58</v>
      </c>
      <c r="H31" s="264" t="s">
        <v>59</v>
      </c>
      <c r="I31" s="264" t="s">
        <v>60</v>
      </c>
      <c r="J31" s="264" t="s">
        <v>205</v>
      </c>
      <c r="K31" s="261" t="s">
        <v>268</v>
      </c>
      <c r="L31" s="259" t="s">
        <v>264</v>
      </c>
      <c r="M31" s="261" t="s">
        <v>273</v>
      </c>
      <c r="N31" s="259" t="s">
        <v>274</v>
      </c>
      <c r="O31" s="265">
        <v>1</v>
      </c>
      <c r="P31" s="265" t="s">
        <v>210</v>
      </c>
      <c r="Q31" s="265" t="s">
        <v>136</v>
      </c>
      <c r="R31" s="265" t="s">
        <v>136</v>
      </c>
      <c r="S31" s="265" t="s">
        <v>275</v>
      </c>
      <c r="T31" s="265">
        <v>1</v>
      </c>
      <c r="U31" s="265">
        <v>1</v>
      </c>
      <c r="V31" s="265">
        <v>0</v>
      </c>
      <c r="W31" s="265">
        <v>1</v>
      </c>
      <c r="X31" s="265"/>
      <c r="Y31" s="288">
        <v>1</v>
      </c>
      <c r="Z31" s="288"/>
      <c r="AA31" s="267">
        <v>5000000</v>
      </c>
      <c r="AB31" s="267">
        <v>-5000000</v>
      </c>
      <c r="AC31" s="267">
        <f t="shared" si="11"/>
        <v>0</v>
      </c>
      <c r="AD31" s="268" t="s">
        <v>212</v>
      </c>
      <c r="AE31" s="268"/>
      <c r="AF31" s="268"/>
      <c r="AG31" s="268">
        <f t="shared" si="12"/>
        <v>0</v>
      </c>
      <c r="AH31" s="259" t="s">
        <v>213</v>
      </c>
      <c r="AI31" s="293" t="s">
        <v>276</v>
      </c>
      <c r="AJ31" s="27"/>
      <c r="AK31" s="27"/>
      <c r="AL31" s="27"/>
      <c r="AM31" s="27"/>
      <c r="AN31" s="27"/>
      <c r="AO31" s="27"/>
      <c r="AP31" s="27"/>
      <c r="AQ31" s="27"/>
      <c r="AR31" s="27"/>
      <c r="AS31" s="27"/>
      <c r="AT31" s="27"/>
      <c r="AU31" s="27"/>
    </row>
    <row r="32" spans="1:47" s="28" customFormat="1" ht="409.6" hidden="1" customHeight="1" thickTop="1" thickBot="1" x14ac:dyDescent="0.3">
      <c r="A32" s="259" t="s">
        <v>52</v>
      </c>
      <c r="B32" s="260" t="s">
        <v>53</v>
      </c>
      <c r="C32" s="261" t="s">
        <v>54</v>
      </c>
      <c r="D32" s="261" t="s">
        <v>55</v>
      </c>
      <c r="E32" s="261" t="s">
        <v>56</v>
      </c>
      <c r="F32" s="262" t="s">
        <v>57</v>
      </c>
      <c r="G32" s="263" t="s">
        <v>58</v>
      </c>
      <c r="H32" s="264" t="s">
        <v>59</v>
      </c>
      <c r="I32" s="264" t="s">
        <v>60</v>
      </c>
      <c r="J32" s="264" t="s">
        <v>205</v>
      </c>
      <c r="K32" s="261" t="s">
        <v>277</v>
      </c>
      <c r="L32" s="259" t="s">
        <v>264</v>
      </c>
      <c r="M32" s="259" t="s">
        <v>278</v>
      </c>
      <c r="N32" s="259" t="s">
        <v>279</v>
      </c>
      <c r="O32" s="265">
        <v>1</v>
      </c>
      <c r="P32" s="265" t="s">
        <v>280</v>
      </c>
      <c r="Q32" s="265" t="s">
        <v>248</v>
      </c>
      <c r="R32" s="265" t="s">
        <v>248</v>
      </c>
      <c r="S32" s="265" t="s">
        <v>281</v>
      </c>
      <c r="T32" s="265">
        <v>0</v>
      </c>
      <c r="U32" s="265">
        <v>1</v>
      </c>
      <c r="V32" s="265">
        <v>0</v>
      </c>
      <c r="W32" s="265">
        <v>1</v>
      </c>
      <c r="X32" s="265">
        <v>0</v>
      </c>
      <c r="Y32" s="288">
        <v>0</v>
      </c>
      <c r="Z32" s="288"/>
      <c r="AA32" s="267">
        <v>45000000</v>
      </c>
      <c r="AB32" s="267">
        <v>-45000000</v>
      </c>
      <c r="AC32" s="267">
        <f t="shared" si="11"/>
        <v>0</v>
      </c>
      <c r="AD32" s="268" t="s">
        <v>212</v>
      </c>
      <c r="AE32" s="268"/>
      <c r="AF32" s="268"/>
      <c r="AG32" s="268">
        <f t="shared" si="12"/>
        <v>0</v>
      </c>
      <c r="AH32" s="259" t="s">
        <v>213</v>
      </c>
      <c r="AI32" s="293" t="s">
        <v>282</v>
      </c>
      <c r="AJ32" s="27"/>
      <c r="AK32" s="27"/>
      <c r="AL32" s="27"/>
      <c r="AM32" s="27"/>
      <c r="AN32" s="27"/>
      <c r="AO32" s="27"/>
      <c r="AP32" s="27"/>
      <c r="AQ32" s="27"/>
      <c r="AR32" s="27"/>
      <c r="AS32" s="27"/>
      <c r="AT32" s="27"/>
      <c r="AU32" s="27"/>
    </row>
    <row r="33" spans="1:50" s="28" customFormat="1" ht="273.60000000000002" hidden="1" customHeight="1" thickTop="1" thickBot="1" x14ac:dyDescent="0.3">
      <c r="A33" s="259" t="s">
        <v>52</v>
      </c>
      <c r="B33" s="260" t="s">
        <v>53</v>
      </c>
      <c r="C33" s="261" t="s">
        <v>54</v>
      </c>
      <c r="D33" s="261" t="s">
        <v>55</v>
      </c>
      <c r="E33" s="261" t="s">
        <v>56</v>
      </c>
      <c r="F33" s="262" t="s">
        <v>57</v>
      </c>
      <c r="G33" s="263" t="s">
        <v>58</v>
      </c>
      <c r="H33" s="264" t="s">
        <v>59</v>
      </c>
      <c r="I33" s="264" t="s">
        <v>60</v>
      </c>
      <c r="J33" s="264" t="s">
        <v>205</v>
      </c>
      <c r="K33" s="261" t="s">
        <v>283</v>
      </c>
      <c r="L33" s="259" t="s">
        <v>264</v>
      </c>
      <c r="M33" s="259" t="s">
        <v>284</v>
      </c>
      <c r="N33" s="259" t="s">
        <v>285</v>
      </c>
      <c r="O33" s="265">
        <v>6</v>
      </c>
      <c r="P33" s="259" t="s">
        <v>98</v>
      </c>
      <c r="Q33" s="266">
        <v>0.5</v>
      </c>
      <c r="R33" s="266">
        <v>0.5</v>
      </c>
      <c r="S33" s="265" t="s">
        <v>286</v>
      </c>
      <c r="T33" s="265" t="s">
        <v>67</v>
      </c>
      <c r="U33" s="265">
        <v>6</v>
      </c>
      <c r="V33" s="265">
        <v>3</v>
      </c>
      <c r="W33" s="265">
        <v>3</v>
      </c>
      <c r="X33" s="265">
        <v>0</v>
      </c>
      <c r="Y33" s="288"/>
      <c r="Z33" s="288"/>
      <c r="AA33" s="273">
        <v>40000000</v>
      </c>
      <c r="AB33" s="273">
        <v>-40000000</v>
      </c>
      <c r="AC33" s="267">
        <f t="shared" si="11"/>
        <v>0</v>
      </c>
      <c r="AD33" s="268" t="s">
        <v>212</v>
      </c>
      <c r="AE33" s="273"/>
      <c r="AF33" s="273"/>
      <c r="AG33" s="268">
        <f t="shared" si="12"/>
        <v>0</v>
      </c>
      <c r="AH33" s="259" t="s">
        <v>213</v>
      </c>
      <c r="AI33" s="293" t="s">
        <v>287</v>
      </c>
      <c r="AJ33" s="27"/>
      <c r="AK33" s="141"/>
      <c r="AL33" s="27"/>
      <c r="AM33" s="27"/>
      <c r="AN33" s="27"/>
      <c r="AO33" s="27"/>
      <c r="AP33" s="27"/>
      <c r="AQ33" s="27"/>
      <c r="AR33" s="27"/>
      <c r="AS33" s="27"/>
      <c r="AT33" s="27"/>
      <c r="AU33" s="27"/>
    </row>
    <row r="34" spans="1:50" s="28" customFormat="1" ht="189" hidden="1" customHeight="1" thickTop="1" thickBot="1" x14ac:dyDescent="0.3">
      <c r="A34" s="259" t="s">
        <v>52</v>
      </c>
      <c r="B34" s="260" t="s">
        <v>53</v>
      </c>
      <c r="C34" s="261" t="s">
        <v>54</v>
      </c>
      <c r="D34" s="261" t="s">
        <v>55</v>
      </c>
      <c r="E34" s="261" t="s">
        <v>56</v>
      </c>
      <c r="F34" s="262" t="s">
        <v>57</v>
      </c>
      <c r="G34" s="263" t="s">
        <v>58</v>
      </c>
      <c r="H34" s="264" t="s">
        <v>59</v>
      </c>
      <c r="I34" s="264" t="s">
        <v>60</v>
      </c>
      <c r="J34" s="264" t="s">
        <v>205</v>
      </c>
      <c r="K34" s="261" t="s">
        <v>112</v>
      </c>
      <c r="L34" s="259" t="s">
        <v>264</v>
      </c>
      <c r="M34" s="259" t="s">
        <v>288</v>
      </c>
      <c r="N34" s="259" t="s">
        <v>289</v>
      </c>
      <c r="O34" s="265">
        <v>6</v>
      </c>
      <c r="P34" s="259" t="s">
        <v>90</v>
      </c>
      <c r="Q34" s="266">
        <v>0.5</v>
      </c>
      <c r="R34" s="266">
        <v>0.5</v>
      </c>
      <c r="S34" s="265" t="s">
        <v>286</v>
      </c>
      <c r="T34" s="265">
        <v>0</v>
      </c>
      <c r="U34" s="265">
        <v>6</v>
      </c>
      <c r="V34" s="265">
        <v>3</v>
      </c>
      <c r="W34" s="265">
        <v>3</v>
      </c>
      <c r="X34" s="265">
        <v>0</v>
      </c>
      <c r="Y34" s="288">
        <v>0</v>
      </c>
      <c r="Z34" s="288"/>
      <c r="AA34" s="273">
        <v>30000000</v>
      </c>
      <c r="AB34" s="273">
        <v>-30000000</v>
      </c>
      <c r="AC34" s="267">
        <f t="shared" si="11"/>
        <v>0</v>
      </c>
      <c r="AD34" s="268" t="s">
        <v>212</v>
      </c>
      <c r="AE34" s="274"/>
      <c r="AF34" s="274"/>
      <c r="AG34" s="268">
        <f t="shared" si="12"/>
        <v>0</v>
      </c>
      <c r="AH34" s="259" t="s">
        <v>213</v>
      </c>
      <c r="AI34" s="293" t="s">
        <v>290</v>
      </c>
      <c r="AJ34" s="29"/>
      <c r="AK34" s="141"/>
      <c r="AL34" s="27"/>
      <c r="AM34" s="27"/>
      <c r="AN34" s="27"/>
      <c r="AO34" s="27"/>
      <c r="AP34" s="27"/>
      <c r="AQ34" s="27"/>
      <c r="AR34" s="27"/>
      <c r="AS34" s="27"/>
      <c r="AT34" s="27"/>
      <c r="AU34" s="27"/>
    </row>
    <row r="35" spans="1:50" s="28" customFormat="1" ht="409.5" customHeight="1" thickTop="1" thickBot="1" x14ac:dyDescent="0.25">
      <c r="A35" s="233" t="s">
        <v>52</v>
      </c>
      <c r="B35" s="234" t="s">
        <v>53</v>
      </c>
      <c r="C35" s="235" t="s">
        <v>54</v>
      </c>
      <c r="D35" s="235" t="s">
        <v>55</v>
      </c>
      <c r="E35" s="235" t="s">
        <v>56</v>
      </c>
      <c r="F35" s="236" t="s">
        <v>57</v>
      </c>
      <c r="G35" s="237" t="s">
        <v>58</v>
      </c>
      <c r="H35" s="238" t="s">
        <v>59</v>
      </c>
      <c r="I35" s="238" t="s">
        <v>60</v>
      </c>
      <c r="J35" s="238" t="s">
        <v>205</v>
      </c>
      <c r="K35" s="235" t="s">
        <v>291</v>
      </c>
      <c r="L35" s="233" t="s">
        <v>264</v>
      </c>
      <c r="M35" s="233" t="s">
        <v>292</v>
      </c>
      <c r="N35" s="233" t="s">
        <v>293</v>
      </c>
      <c r="O35" s="239">
        <v>1</v>
      </c>
      <c r="P35" s="240" t="s">
        <v>210</v>
      </c>
      <c r="Q35" s="240" t="s">
        <v>136</v>
      </c>
      <c r="R35" s="240" t="s">
        <v>136</v>
      </c>
      <c r="S35" s="240" t="s">
        <v>294</v>
      </c>
      <c r="T35" s="240">
        <v>0</v>
      </c>
      <c r="U35" s="246">
        <v>1</v>
      </c>
      <c r="V35" s="246">
        <v>0.4</v>
      </c>
      <c r="W35" s="246">
        <v>0.6</v>
      </c>
      <c r="X35" s="239">
        <v>0.2</v>
      </c>
      <c r="Y35" s="239">
        <v>0.4</v>
      </c>
      <c r="Z35" s="290">
        <v>0.1</v>
      </c>
      <c r="AA35" s="241">
        <f>835000000-30000000</f>
        <v>805000000</v>
      </c>
      <c r="AB35" s="241">
        <f>-103500000-398500000-85364500+140000000+429885760.36</f>
        <v>-17478739.639999986</v>
      </c>
      <c r="AC35" s="241">
        <f>+AA35+AB35</f>
        <v>787521260.36000001</v>
      </c>
      <c r="AD35" s="242" t="s">
        <v>614</v>
      </c>
      <c r="AE35" s="242">
        <f>8310105.45+12525523.58+2172867.82+4895880.31+8258808.97+ 1676203.5</f>
        <v>37839389.630000003</v>
      </c>
      <c r="AF35" s="242">
        <f>10000000+41500</f>
        <v>10041500</v>
      </c>
      <c r="AG35" s="242">
        <f t="shared" si="12"/>
        <v>47880889.630000003</v>
      </c>
      <c r="AH35" s="233" t="s">
        <v>213</v>
      </c>
      <c r="AI35" s="294" t="s">
        <v>295</v>
      </c>
      <c r="AJ35" s="51"/>
      <c r="AK35" s="51"/>
      <c r="AL35" s="52"/>
      <c r="AM35" s="52"/>
      <c r="AN35" s="53"/>
      <c r="AO35" s="54"/>
      <c r="AP35" s="27"/>
      <c r="AQ35" s="54"/>
      <c r="AR35" s="55"/>
      <c r="AS35" s="27"/>
      <c r="AT35" s="56"/>
      <c r="AU35" s="56"/>
      <c r="AX35" s="50" t="s">
        <v>296</v>
      </c>
    </row>
    <row r="36" spans="1:50" s="28" customFormat="1" ht="187.15" customHeight="1" thickTop="1" thickBot="1" x14ac:dyDescent="0.25">
      <c r="A36" s="233" t="s">
        <v>52</v>
      </c>
      <c r="B36" s="234" t="s">
        <v>53</v>
      </c>
      <c r="C36" s="235" t="s">
        <v>54</v>
      </c>
      <c r="D36" s="235" t="s">
        <v>55</v>
      </c>
      <c r="E36" s="235" t="s">
        <v>56</v>
      </c>
      <c r="F36" s="236" t="s">
        <v>57</v>
      </c>
      <c r="G36" s="237" t="s">
        <v>58</v>
      </c>
      <c r="H36" s="238" t="s">
        <v>59</v>
      </c>
      <c r="I36" s="238" t="s">
        <v>60</v>
      </c>
      <c r="J36" s="238" t="s">
        <v>205</v>
      </c>
      <c r="K36" s="235" t="s">
        <v>268</v>
      </c>
      <c r="L36" s="233" t="s">
        <v>264</v>
      </c>
      <c r="M36" s="233" t="s">
        <v>297</v>
      </c>
      <c r="N36" s="233" t="s">
        <v>298</v>
      </c>
      <c r="O36" s="239">
        <v>1</v>
      </c>
      <c r="P36" s="240" t="s">
        <v>210</v>
      </c>
      <c r="Q36" s="240" t="s">
        <v>136</v>
      </c>
      <c r="R36" s="240" t="s">
        <v>136</v>
      </c>
      <c r="S36" s="240" t="s">
        <v>299</v>
      </c>
      <c r="T36" s="240">
        <v>0</v>
      </c>
      <c r="U36" s="239">
        <v>1</v>
      </c>
      <c r="V36" s="239">
        <v>0.4</v>
      </c>
      <c r="W36" s="239">
        <v>0.6</v>
      </c>
      <c r="X36" s="239">
        <v>0.5</v>
      </c>
      <c r="Y36" s="239">
        <v>0.2</v>
      </c>
      <c r="Z36" s="290">
        <f>+X36+Y36</f>
        <v>0.7</v>
      </c>
      <c r="AA36" s="241">
        <f>30000000+11475363.56</f>
        <v>41475363.560000002</v>
      </c>
      <c r="AB36" s="241"/>
      <c r="AC36" s="241">
        <f>+AA36+AB36</f>
        <v>41475363.560000002</v>
      </c>
      <c r="AD36" s="242" t="s">
        <v>614</v>
      </c>
      <c r="AE36" s="275">
        <f>7055438.43+2172867.82+3000000+ 5565109.34</f>
        <v>17793415.59</v>
      </c>
      <c r="AF36" s="275">
        <f>13911692.79+4171057.64</f>
        <v>18082750.43</v>
      </c>
      <c r="AG36" s="275">
        <f>+AE36+AF36</f>
        <v>35876166.019999996</v>
      </c>
      <c r="AH36" s="240" t="s">
        <v>213</v>
      </c>
      <c r="AI36" s="293" t="s">
        <v>300</v>
      </c>
      <c r="AJ36" s="27"/>
      <c r="AK36" s="141"/>
      <c r="AP36" s="54"/>
      <c r="AS36" s="56"/>
    </row>
    <row r="37" spans="1:50" s="119" customFormat="1" ht="24" customHeight="1" thickTop="1" thickBot="1" x14ac:dyDescent="0.3">
      <c r="A37" s="574" t="s">
        <v>301</v>
      </c>
      <c r="B37" s="575"/>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339"/>
      <c r="AA37" s="278">
        <f>SUM(AA38:AA42)</f>
        <v>1224676366.2720001</v>
      </c>
      <c r="AB37" s="278">
        <f t="shared" ref="AB37:AC37" si="13">SUM(AB38:AB42)</f>
        <v>-55419455.030000001</v>
      </c>
      <c r="AC37" s="278">
        <f t="shared" si="13"/>
        <v>1169256911.2420001</v>
      </c>
      <c r="AD37" s="278"/>
      <c r="AE37" s="278">
        <f>SUM(AE38:AE42)</f>
        <v>172182540.62996298</v>
      </c>
      <c r="AF37" s="278">
        <f t="shared" ref="AF37:AG37" si="14">SUM(AF38:AF42)</f>
        <v>79919397.109999985</v>
      </c>
      <c r="AG37" s="278">
        <f t="shared" si="14"/>
        <v>252101937.73996297</v>
      </c>
      <c r="AH37" s="279"/>
      <c r="AI37" s="659"/>
      <c r="AJ37" s="118"/>
      <c r="AK37" s="142">
        <v>12821758.199999999</v>
      </c>
      <c r="AM37" s="119">
        <f>+AC37-1078306911.24</f>
        <v>90950000.002000093</v>
      </c>
      <c r="AP37" s="28"/>
      <c r="AS37" s="28"/>
    </row>
    <row r="38" spans="1:50" s="28" customFormat="1" ht="292.5" customHeight="1" thickTop="1" thickBot="1" x14ac:dyDescent="0.3">
      <c r="A38" s="233" t="s">
        <v>52</v>
      </c>
      <c r="B38" s="234" t="s">
        <v>53</v>
      </c>
      <c r="C38" s="235" t="s">
        <v>54</v>
      </c>
      <c r="D38" s="235" t="s">
        <v>55</v>
      </c>
      <c r="E38" s="235" t="s">
        <v>56</v>
      </c>
      <c r="F38" s="236" t="s">
        <v>57</v>
      </c>
      <c r="G38" s="237" t="s">
        <v>58</v>
      </c>
      <c r="H38" s="238" t="s">
        <v>59</v>
      </c>
      <c r="I38" s="238" t="s">
        <v>60</v>
      </c>
      <c r="J38" s="238" t="s">
        <v>302</v>
      </c>
      <c r="K38" s="235" t="s">
        <v>252</v>
      </c>
      <c r="L38" s="233" t="s">
        <v>303</v>
      </c>
      <c r="M38" s="233" t="s">
        <v>304</v>
      </c>
      <c r="N38" s="233" t="s">
        <v>305</v>
      </c>
      <c r="O38" s="248">
        <v>1</v>
      </c>
      <c r="P38" s="233" t="s">
        <v>90</v>
      </c>
      <c r="Q38" s="240" t="s">
        <v>67</v>
      </c>
      <c r="R38" s="240" t="s">
        <v>67</v>
      </c>
      <c r="S38" s="240" t="s">
        <v>306</v>
      </c>
      <c r="T38" s="240">
        <v>0</v>
      </c>
      <c r="U38" s="240">
        <v>1</v>
      </c>
      <c r="V38" s="240">
        <v>0</v>
      </c>
      <c r="W38" s="246">
        <v>1</v>
      </c>
      <c r="X38" s="240">
        <v>0</v>
      </c>
      <c r="Y38" s="240">
        <v>0</v>
      </c>
      <c r="Z38" s="288">
        <f>+X38+Y38</f>
        <v>0</v>
      </c>
      <c r="AA38" s="270">
        <v>100000000</v>
      </c>
      <c r="AB38" s="270"/>
      <c r="AC38" s="270">
        <f>+AA38+AB38</f>
        <v>100000000</v>
      </c>
      <c r="AD38" s="270" t="s">
        <v>307</v>
      </c>
      <c r="AE38" s="270">
        <f>+Hoja1!C51+1282175.82+ 4184254.35+Hoja1!C52+1282175.82+5201479.46333</f>
        <v>19099758.11933</v>
      </c>
      <c r="AF38" s="270"/>
      <c r="AG38" s="270">
        <f>+AE38+AF38</f>
        <v>19099758.11933</v>
      </c>
      <c r="AH38" s="233" t="s">
        <v>213</v>
      </c>
      <c r="AI38" s="295" t="s">
        <v>578</v>
      </c>
      <c r="AJ38" s="138">
        <v>0.1</v>
      </c>
      <c r="AK38" s="141">
        <f>+AJ38*AK37</f>
        <v>1282175.82</v>
      </c>
      <c r="AM38" s="169">
        <f>232258232.77-AG37</f>
        <v>-19843704.969962955</v>
      </c>
      <c r="AP38" s="119"/>
      <c r="AS38" s="119"/>
    </row>
    <row r="39" spans="1:50" s="28" customFormat="1" ht="263.25" customHeight="1" thickTop="1" thickBot="1" x14ac:dyDescent="0.3">
      <c r="A39" s="240" t="s">
        <v>52</v>
      </c>
      <c r="B39" s="240" t="s">
        <v>53</v>
      </c>
      <c r="C39" s="240" t="s">
        <v>54</v>
      </c>
      <c r="D39" s="240" t="s">
        <v>55</v>
      </c>
      <c r="E39" s="240" t="s">
        <v>56</v>
      </c>
      <c r="F39" s="240" t="s">
        <v>57</v>
      </c>
      <c r="G39" s="240" t="s">
        <v>58</v>
      </c>
      <c r="H39" s="240" t="s">
        <v>59</v>
      </c>
      <c r="I39" s="240" t="s">
        <v>60</v>
      </c>
      <c r="J39" s="240" t="s">
        <v>302</v>
      </c>
      <c r="K39" s="240" t="s">
        <v>252</v>
      </c>
      <c r="L39" s="240" t="s">
        <v>303</v>
      </c>
      <c r="M39" s="240" t="s">
        <v>308</v>
      </c>
      <c r="N39" s="240" t="s">
        <v>309</v>
      </c>
      <c r="O39" s="240">
        <v>1</v>
      </c>
      <c r="P39" s="240" t="s">
        <v>90</v>
      </c>
      <c r="Q39" s="240" t="s">
        <v>67</v>
      </c>
      <c r="R39" s="240" t="s">
        <v>67</v>
      </c>
      <c r="S39" s="240" t="s">
        <v>310</v>
      </c>
      <c r="T39" s="276">
        <v>0</v>
      </c>
      <c r="U39" s="276">
        <v>1</v>
      </c>
      <c r="V39" s="276">
        <v>0</v>
      </c>
      <c r="W39" s="276">
        <v>1</v>
      </c>
      <c r="X39" s="276">
        <v>0</v>
      </c>
      <c r="Y39" s="276">
        <v>0</v>
      </c>
      <c r="Z39" s="288">
        <f t="shared" ref="Z39:Z42" si="15">+X39+Y39</f>
        <v>0</v>
      </c>
      <c r="AA39" s="277">
        <v>150000000</v>
      </c>
      <c r="AB39" s="277">
        <f>+(5000000-129850000)+90950000</f>
        <v>-33900000</v>
      </c>
      <c r="AC39" s="277">
        <f t="shared" ref="AC39:AC42" si="16">+AA39+AB39</f>
        <v>116100000</v>
      </c>
      <c r="AD39" s="276" t="s">
        <v>307</v>
      </c>
      <c r="AE39" s="276">
        <v>0</v>
      </c>
      <c r="AF39" s="276"/>
      <c r="AG39" s="276">
        <f t="shared" ref="AG39:AG42" si="17">+AE39+AF39</f>
        <v>0</v>
      </c>
      <c r="AH39" s="276" t="s">
        <v>213</v>
      </c>
      <c r="AI39" s="291" t="s">
        <v>574</v>
      </c>
      <c r="AJ39" s="139">
        <v>0.1</v>
      </c>
      <c r="AK39" s="141">
        <f>+AK37*AJ39</f>
        <v>1282175.82</v>
      </c>
    </row>
    <row r="40" spans="1:50" s="28" customFormat="1" ht="364.5" customHeight="1" thickTop="1" thickBot="1" x14ac:dyDescent="0.3">
      <c r="A40" s="240" t="s">
        <v>52</v>
      </c>
      <c r="B40" s="240" t="s">
        <v>53</v>
      </c>
      <c r="C40" s="240" t="s">
        <v>54</v>
      </c>
      <c r="D40" s="240" t="s">
        <v>55</v>
      </c>
      <c r="E40" s="240" t="s">
        <v>56</v>
      </c>
      <c r="F40" s="240" t="s">
        <v>57</v>
      </c>
      <c r="G40" s="240" t="s">
        <v>58</v>
      </c>
      <c r="H40" s="240" t="s">
        <v>59</v>
      </c>
      <c r="I40" s="240" t="s">
        <v>60</v>
      </c>
      <c r="J40" s="240" t="s">
        <v>302</v>
      </c>
      <c r="K40" s="240" t="s">
        <v>252</v>
      </c>
      <c r="L40" s="240" t="s">
        <v>303</v>
      </c>
      <c r="M40" s="240" t="s">
        <v>311</v>
      </c>
      <c r="N40" s="240" t="s">
        <v>312</v>
      </c>
      <c r="O40" s="240">
        <v>1</v>
      </c>
      <c r="P40" s="240">
        <v>0</v>
      </c>
      <c r="Q40" s="240" t="s">
        <v>67</v>
      </c>
      <c r="R40" s="240" t="s">
        <v>67</v>
      </c>
      <c r="S40" s="240" t="s">
        <v>306</v>
      </c>
      <c r="T40" s="276">
        <v>0</v>
      </c>
      <c r="U40" s="276">
        <v>1</v>
      </c>
      <c r="V40" s="276">
        <v>0</v>
      </c>
      <c r="W40" s="276">
        <v>1</v>
      </c>
      <c r="X40" s="276">
        <v>0</v>
      </c>
      <c r="Y40" s="276">
        <v>0</v>
      </c>
      <c r="Z40" s="288">
        <f t="shared" si="15"/>
        <v>0</v>
      </c>
      <c r="AA40" s="277">
        <v>100000000</v>
      </c>
      <c r="AB40" s="277"/>
      <c r="AC40" s="277">
        <f t="shared" si="16"/>
        <v>100000000</v>
      </c>
      <c r="AD40" s="276" t="s">
        <v>313</v>
      </c>
      <c r="AE40" s="277">
        <f>+Hoja1!C53+1282175.82</f>
        <v>4857012.1529999999</v>
      </c>
      <c r="AF40" s="276"/>
      <c r="AG40" s="277">
        <f t="shared" si="17"/>
        <v>4857012.1529999999</v>
      </c>
      <c r="AH40" s="276" t="s">
        <v>213</v>
      </c>
      <c r="AI40" s="291" t="s">
        <v>575</v>
      </c>
      <c r="AJ40" s="139">
        <v>0.1</v>
      </c>
      <c r="AK40" s="141">
        <f>+AK37*AJ40</f>
        <v>1282175.82</v>
      </c>
    </row>
    <row r="41" spans="1:50" s="28" customFormat="1" ht="241.5" customHeight="1" thickTop="1" thickBot="1" x14ac:dyDescent="0.3">
      <c r="A41" s="240" t="s">
        <v>52</v>
      </c>
      <c r="B41" s="240" t="s">
        <v>53</v>
      </c>
      <c r="C41" s="240" t="s">
        <v>54</v>
      </c>
      <c r="D41" s="240" t="s">
        <v>55</v>
      </c>
      <c r="E41" s="240" t="s">
        <v>56</v>
      </c>
      <c r="F41" s="240" t="s">
        <v>57</v>
      </c>
      <c r="G41" s="240" t="s">
        <v>58</v>
      </c>
      <c r="H41" s="240" t="s">
        <v>59</v>
      </c>
      <c r="I41" s="240" t="s">
        <v>60</v>
      </c>
      <c r="J41" s="240" t="s">
        <v>302</v>
      </c>
      <c r="K41" s="240" t="s">
        <v>252</v>
      </c>
      <c r="L41" s="240" t="s">
        <v>303</v>
      </c>
      <c r="M41" s="236" t="s">
        <v>314</v>
      </c>
      <c r="N41" s="276" t="s">
        <v>315</v>
      </c>
      <c r="O41" s="240">
        <v>5</v>
      </c>
      <c r="P41" s="240" t="s">
        <v>280</v>
      </c>
      <c r="Q41" s="240" t="s">
        <v>248</v>
      </c>
      <c r="R41" s="240" t="s">
        <v>248</v>
      </c>
      <c r="S41" s="240" t="s">
        <v>299</v>
      </c>
      <c r="T41" s="276">
        <v>100</v>
      </c>
      <c r="U41" s="276">
        <v>1</v>
      </c>
      <c r="V41" s="424">
        <v>0.5</v>
      </c>
      <c r="W41" s="424">
        <v>0.5</v>
      </c>
      <c r="X41" s="424">
        <v>0.5</v>
      </c>
      <c r="Y41" s="424">
        <v>0.25</v>
      </c>
      <c r="Z41" s="348">
        <f t="shared" si="15"/>
        <v>0.75</v>
      </c>
      <c r="AA41" s="277">
        <f>763390851.832+359280.72-66223766.28</f>
        <v>697526366.27200007</v>
      </c>
      <c r="AB41" s="277">
        <f>350000-10019455.03-11850000</f>
        <v>-21519455.030000001</v>
      </c>
      <c r="AC41" s="277">
        <f t="shared" si="16"/>
        <v>676006911.2420001</v>
      </c>
      <c r="AD41" s="276" t="s">
        <v>316</v>
      </c>
      <c r="AE41" s="277">
        <f>+Hoja1!C54+6783242.87+6410879.1+4259521.54+18300253.65+51808195.98-6487149.93+5201479.463333</f>
        <v>105938022.504833</v>
      </c>
      <c r="AF41" s="277">
        <f>14210675.33+14210675.33+3536019.69+28118321.79+11913219.1+3511807.32</f>
        <v>75500718.559999987</v>
      </c>
      <c r="AG41" s="277">
        <f t="shared" si="17"/>
        <v>181438741.06483299</v>
      </c>
      <c r="AH41" s="276" t="s">
        <v>213</v>
      </c>
      <c r="AI41" s="291" t="s">
        <v>576</v>
      </c>
      <c r="AJ41" s="140">
        <v>1</v>
      </c>
      <c r="AK41" s="143">
        <f>+AK37*AJ41</f>
        <v>12821758.199999999</v>
      </c>
    </row>
    <row r="42" spans="1:50" s="28" customFormat="1" ht="136.5" thickTop="1" thickBot="1" x14ac:dyDescent="0.3">
      <c r="A42" s="240" t="s">
        <v>52</v>
      </c>
      <c r="B42" s="240" t="s">
        <v>53</v>
      </c>
      <c r="C42" s="240" t="s">
        <v>54</v>
      </c>
      <c r="D42" s="240" t="s">
        <v>55</v>
      </c>
      <c r="E42" s="240" t="s">
        <v>56</v>
      </c>
      <c r="F42" s="240" t="s">
        <v>57</v>
      </c>
      <c r="G42" s="240" t="s">
        <v>58</v>
      </c>
      <c r="H42" s="240" t="s">
        <v>59</v>
      </c>
      <c r="I42" s="240" t="s">
        <v>60</v>
      </c>
      <c r="J42" s="240" t="s">
        <v>302</v>
      </c>
      <c r="K42" s="240" t="s">
        <v>252</v>
      </c>
      <c r="L42" s="240" t="s">
        <v>303</v>
      </c>
      <c r="M42" s="240" t="s">
        <v>317</v>
      </c>
      <c r="N42" s="240" t="s">
        <v>318</v>
      </c>
      <c r="O42" s="240">
        <v>1</v>
      </c>
      <c r="P42" s="240" t="s">
        <v>242</v>
      </c>
      <c r="Q42" s="240" t="s">
        <v>248</v>
      </c>
      <c r="R42" s="240" t="s">
        <v>248</v>
      </c>
      <c r="S42" s="240" t="s">
        <v>319</v>
      </c>
      <c r="T42" s="276" t="s">
        <v>248</v>
      </c>
      <c r="U42" s="276">
        <f>SUM(V42:W42)</f>
        <v>1</v>
      </c>
      <c r="V42" s="276">
        <v>0.5</v>
      </c>
      <c r="W42" s="276">
        <v>0.5</v>
      </c>
      <c r="X42" s="276">
        <v>0.8</v>
      </c>
      <c r="Y42" s="276">
        <v>0</v>
      </c>
      <c r="Z42" s="348">
        <f t="shared" si="15"/>
        <v>0.8</v>
      </c>
      <c r="AA42" s="277">
        <v>177150000</v>
      </c>
      <c r="AB42" s="277"/>
      <c r="AC42" s="277">
        <f t="shared" si="16"/>
        <v>177150000</v>
      </c>
      <c r="AD42" s="276"/>
      <c r="AE42" s="277">
        <f>+Hoja1!C55+5868574.1+2564351.64+28027088.15-5000000+5201479.4633+264000</f>
        <v>42287747.852799997</v>
      </c>
      <c r="AF42" s="277">
        <v>4418678.55</v>
      </c>
      <c r="AG42" s="277">
        <f t="shared" si="17"/>
        <v>46706426.402799994</v>
      </c>
      <c r="AH42" s="276" t="s">
        <v>213</v>
      </c>
      <c r="AI42" s="291" t="s">
        <v>577</v>
      </c>
      <c r="AJ42" s="140">
        <v>0.8</v>
      </c>
      <c r="AK42" s="143">
        <f>+AK37*AJ42</f>
        <v>10257406.560000001</v>
      </c>
      <c r="AS42" s="181"/>
    </row>
    <row r="43" spans="1:50" s="28" customFormat="1" ht="35.25" customHeight="1" thickTop="1" thickBot="1" x14ac:dyDescent="0.3">
      <c r="A43" s="91"/>
      <c r="B43" s="91"/>
      <c r="C43" s="91"/>
      <c r="D43" s="91"/>
      <c r="E43" s="91"/>
      <c r="F43" s="91"/>
      <c r="G43" s="91"/>
      <c r="H43" s="91"/>
      <c r="I43" s="91"/>
      <c r="J43" s="91"/>
      <c r="K43" s="91"/>
      <c r="L43" s="91"/>
      <c r="M43" s="91"/>
      <c r="N43" s="91"/>
      <c r="O43" s="91"/>
      <c r="P43" s="91"/>
      <c r="Q43" s="91"/>
      <c r="R43" s="91"/>
      <c r="S43" s="91"/>
      <c r="T43" s="91"/>
      <c r="U43" s="569" t="s">
        <v>320</v>
      </c>
      <c r="V43" s="570"/>
      <c r="W43" s="570"/>
      <c r="X43" s="570"/>
      <c r="Y43" s="571"/>
      <c r="Z43" s="347"/>
      <c r="AA43" s="137">
        <f>+AA15+AA17+AA22+AA28+AA37</f>
        <v>11583853131.857998</v>
      </c>
      <c r="AB43" s="137">
        <f t="shared" ref="AB43:AG43" si="18">+AB15+AB17+AB22+AB28+AB37</f>
        <v>5637737643.71</v>
      </c>
      <c r="AC43" s="137">
        <f t="shared" si="18"/>
        <v>17221590775.568001</v>
      </c>
      <c r="AD43" s="137"/>
      <c r="AE43" s="137">
        <f t="shared" si="18"/>
        <v>4792240116.8099632</v>
      </c>
      <c r="AF43" s="137">
        <f t="shared" si="18"/>
        <v>711775585.00999999</v>
      </c>
      <c r="AG43" s="137">
        <f t="shared" si="18"/>
        <v>5504015701.8199625</v>
      </c>
      <c r="AH43" s="92"/>
      <c r="AI43" s="658"/>
      <c r="AJ43" s="37"/>
    </row>
    <row r="44" spans="1:50" ht="15.75" thickTop="1" x14ac:dyDescent="0.25">
      <c r="A44" s="13"/>
      <c r="B44" s="13"/>
      <c r="C44" s="13"/>
      <c r="D44" s="13"/>
      <c r="E44" s="13"/>
      <c r="F44" s="13"/>
      <c r="G44" s="13"/>
      <c r="H44" s="13"/>
      <c r="I44" s="13"/>
      <c r="K44" s="13"/>
      <c r="L44" s="13"/>
      <c r="M44" s="13"/>
      <c r="N44" s="13"/>
      <c r="P44" s="13"/>
      <c r="Q44" s="13"/>
      <c r="R44" s="13"/>
      <c r="S44" s="13"/>
      <c r="T44" s="13"/>
      <c r="U44" s="13"/>
      <c r="V44" s="13"/>
      <c r="W44" s="13"/>
      <c r="AA44" s="13"/>
      <c r="AH44" s="13"/>
      <c r="AL44" s="13"/>
      <c r="AM44" s="13"/>
      <c r="AN44" s="13"/>
      <c r="AO44" s="13"/>
      <c r="AP44" s="28"/>
      <c r="AQ44" s="13"/>
      <c r="AR44" s="13"/>
      <c r="AS44" s="28"/>
      <c r="AT44" s="13"/>
      <c r="AU44" s="13"/>
      <c r="AV44" s="13"/>
      <c r="AW44" s="13"/>
      <c r="AX44" s="13"/>
    </row>
    <row r="45" spans="1:50" x14ac:dyDescent="0.25">
      <c r="A45" s="13"/>
      <c r="B45" s="13"/>
      <c r="C45" s="13"/>
      <c r="D45" s="13"/>
      <c r="E45" s="13"/>
      <c r="F45" s="13"/>
      <c r="G45" s="13"/>
      <c r="H45" s="13"/>
      <c r="I45" s="13"/>
      <c r="K45" s="13"/>
      <c r="L45" s="13"/>
      <c r="M45" s="13"/>
      <c r="N45" s="13"/>
      <c r="P45" s="13"/>
      <c r="Q45" s="13"/>
      <c r="R45" s="13"/>
      <c r="S45" s="13"/>
      <c r="T45" s="13"/>
      <c r="U45" s="13"/>
      <c r="V45" s="13"/>
      <c r="W45" s="13"/>
      <c r="AA45" s="13"/>
      <c r="AH45" s="13"/>
      <c r="AL45" s="13"/>
      <c r="AM45" s="13"/>
      <c r="AN45" s="13"/>
      <c r="AO45" s="13"/>
      <c r="AP45" s="13"/>
      <c r="AQ45" s="13"/>
      <c r="AR45" s="13"/>
      <c r="AS45" s="13"/>
      <c r="AT45" s="13"/>
      <c r="AU45" s="13"/>
      <c r="AV45" s="13"/>
      <c r="AW45" s="13"/>
      <c r="AX45" s="13"/>
    </row>
    <row r="46" spans="1:50" hidden="1" x14ac:dyDescent="0.25">
      <c r="A46" s="13"/>
      <c r="B46" s="13"/>
      <c r="C46" s="13"/>
      <c r="D46" s="13"/>
      <c r="E46" s="13"/>
      <c r="F46" s="13"/>
      <c r="G46" s="13"/>
      <c r="H46" s="13"/>
      <c r="I46" s="13"/>
      <c r="K46" s="13"/>
      <c r="L46" s="13"/>
      <c r="M46" s="13"/>
      <c r="N46" s="13"/>
      <c r="P46" s="13"/>
      <c r="Q46" s="13"/>
      <c r="R46" s="13"/>
      <c r="S46" s="13"/>
      <c r="T46" s="13"/>
      <c r="U46" s="13"/>
      <c r="V46" s="13"/>
      <c r="W46" s="13"/>
      <c r="AA46" s="13"/>
      <c r="AB46" s="13" t="s">
        <v>321</v>
      </c>
      <c r="AC46" s="170">
        <f>+AC43-AG43</f>
        <v>11717575073.748039</v>
      </c>
      <c r="AH46" s="13"/>
      <c r="AL46" s="13"/>
      <c r="AM46" s="13"/>
      <c r="AN46" s="13"/>
      <c r="AO46" s="13"/>
      <c r="AP46" s="13"/>
      <c r="AQ46" s="13"/>
      <c r="AR46" s="13"/>
      <c r="AS46" s="13"/>
      <c r="AT46" s="13"/>
      <c r="AU46" s="13"/>
      <c r="AV46" s="13"/>
      <c r="AW46" s="13"/>
      <c r="AX46" s="13"/>
    </row>
    <row r="47" spans="1:50" x14ac:dyDescent="0.25">
      <c r="A47" s="13"/>
      <c r="B47" s="13"/>
      <c r="C47" s="13"/>
      <c r="D47" s="13"/>
      <c r="E47" s="13"/>
      <c r="F47" s="13"/>
      <c r="G47" s="13"/>
      <c r="H47" s="13"/>
      <c r="I47" s="13"/>
      <c r="K47" s="13"/>
      <c r="L47" s="13"/>
      <c r="M47" s="13"/>
      <c r="N47" s="13"/>
      <c r="P47" s="13"/>
      <c r="Q47" s="13"/>
      <c r="R47" s="13"/>
      <c r="S47" s="13"/>
      <c r="T47" s="13"/>
      <c r="U47" s="13"/>
      <c r="V47" s="13"/>
      <c r="W47" s="13"/>
      <c r="AA47" s="13"/>
      <c r="AH47" s="13"/>
      <c r="AL47" s="13"/>
      <c r="AM47" s="13"/>
      <c r="AN47" s="13"/>
      <c r="AO47" s="13"/>
      <c r="AP47" s="13"/>
      <c r="AQ47" s="13"/>
      <c r="AR47" s="13"/>
      <c r="AS47" s="13"/>
      <c r="AT47" s="13"/>
      <c r="AU47" s="13"/>
      <c r="AV47" s="13"/>
      <c r="AW47" s="13"/>
      <c r="AX47" s="13"/>
    </row>
    <row r="48" spans="1:50" x14ac:dyDescent="0.25">
      <c r="A48" s="13"/>
      <c r="B48" s="13"/>
      <c r="C48" s="13"/>
      <c r="D48" s="13"/>
      <c r="E48" s="13"/>
      <c r="F48" s="13"/>
      <c r="G48" s="13"/>
      <c r="H48" s="13"/>
      <c r="I48" s="13"/>
      <c r="K48" s="13"/>
      <c r="L48" s="13"/>
      <c r="M48" s="13"/>
      <c r="N48" s="13"/>
      <c r="P48" s="13"/>
      <c r="Q48" s="13"/>
      <c r="R48" s="13"/>
      <c r="S48" s="13"/>
      <c r="T48" s="13"/>
      <c r="U48" s="13"/>
      <c r="V48" s="13"/>
      <c r="W48" s="13"/>
      <c r="AA48" s="13"/>
      <c r="AH48" s="13"/>
      <c r="AL48" s="13"/>
      <c r="AM48" s="13"/>
      <c r="AN48" s="13"/>
      <c r="AO48" s="13"/>
      <c r="AP48" s="13"/>
      <c r="AQ48" s="13"/>
      <c r="AR48" s="13"/>
      <c r="AS48" s="13"/>
      <c r="AT48" s="13"/>
      <c r="AU48" s="13"/>
      <c r="AV48" s="13"/>
      <c r="AW48" s="13"/>
      <c r="AX48" s="13"/>
    </row>
  </sheetData>
  <mergeCells count="52">
    <mergeCell ref="AA9:AD10"/>
    <mergeCell ref="U9:W11"/>
    <mergeCell ref="AD11:AD14"/>
    <mergeCell ref="AE9:AF10"/>
    <mergeCell ref="U43:Y43"/>
    <mergeCell ref="A22:Y22"/>
    <mergeCell ref="A28:Y28"/>
    <mergeCell ref="A37:Y37"/>
    <mergeCell ref="AC11:AC14"/>
    <mergeCell ref="X12:Y12"/>
    <mergeCell ref="V12:V14"/>
    <mergeCell ref="W12:W14"/>
    <mergeCell ref="S9:S14"/>
    <mergeCell ref="X9:Z10"/>
    <mergeCell ref="U12:U14"/>
    <mergeCell ref="A15:Y15"/>
    <mergeCell ref="A17:Y17"/>
    <mergeCell ref="G9:G14"/>
    <mergeCell ref="P10:P14"/>
    <mergeCell ref="Q10:R10"/>
    <mergeCell ref="AE11:AE14"/>
    <mergeCell ref="AF11:AF14"/>
    <mergeCell ref="AA11:AA14"/>
    <mergeCell ref="AB11:AB14"/>
    <mergeCell ref="A5:AI5"/>
    <mergeCell ref="A6:AI6"/>
    <mergeCell ref="A7:AI7"/>
    <mergeCell ref="L9:L14"/>
    <mergeCell ref="H9:H14"/>
    <mergeCell ref="N9:O9"/>
    <mergeCell ref="AH11:AH14"/>
    <mergeCell ref="Q11:Q14"/>
    <mergeCell ref="R11:R14"/>
    <mergeCell ref="K9:K14"/>
    <mergeCell ref="T9:T14"/>
    <mergeCell ref="AG9:AG14"/>
    <mergeCell ref="A2:AI2"/>
    <mergeCell ref="A1:AI1"/>
    <mergeCell ref="A3:AI3"/>
    <mergeCell ref="AI9:AI15"/>
    <mergeCell ref="M9:M14"/>
    <mergeCell ref="I9:I14"/>
    <mergeCell ref="C9:C14"/>
    <mergeCell ref="L8:AI8"/>
    <mergeCell ref="A8:K8"/>
    <mergeCell ref="P9:R9"/>
    <mergeCell ref="A9:A14"/>
    <mergeCell ref="F9:F14"/>
    <mergeCell ref="E9:E14"/>
    <mergeCell ref="B9:B14"/>
    <mergeCell ref="J9:J14"/>
    <mergeCell ref="D9:D14"/>
  </mergeCells>
  <phoneticPr fontId="18" type="noConversion"/>
  <dataValidations count="9">
    <dataValidation type="list" allowBlank="1" showInputMessage="1" showErrorMessage="1" sqref="K24:K25 K16:L16 K18:L21 M30:M31 K29:L31 K23:L23 L33:L34 L25:L27 K36:L36" xr:uid="{67E548E8-6BE9-48DF-A2FA-8E9F2E0222B3}">
      <formula1>#REF!</formula1>
    </dataValidation>
    <dataValidation type="list" allowBlank="1" showInputMessage="1" showErrorMessage="1" sqref="K38:K40 K34" xr:uid="{4EE2A69C-6114-400A-8649-61656BCF8016}">
      <formula1>$O$66:$O$93</formula1>
    </dataValidation>
    <dataValidation type="list" allowBlank="1" showInputMessage="1" showErrorMessage="1" sqref="K32" xr:uid="{100ECE6A-5D75-4AEE-AD8E-CD253981915C}">
      <formula1>$N$70:$N$97</formula1>
    </dataValidation>
    <dataValidation type="list" allowBlank="1" showInputMessage="1" showErrorMessage="1" sqref="L32" xr:uid="{1DA032FD-23F6-4A52-8E22-990AE315D236}">
      <formula1>$K$57:$K$61</formula1>
    </dataValidation>
    <dataValidation type="list" allowBlank="1" showInputMessage="1" showErrorMessage="1" sqref="L24" xr:uid="{1E060689-2D36-4E30-9043-F4212E569DFF}">
      <formula1>$K$56:$K$60</formula1>
    </dataValidation>
    <dataValidation type="list" allowBlank="1" showInputMessage="1" showErrorMessage="1" sqref="P41:P43" xr:uid="{0DC21C9F-B5EA-4231-AFF1-7A4BD307E858}">
      <formula1>"Interno,Externo,Ambos"</formula1>
    </dataValidation>
    <dataValidation type="list" allowBlank="1" showInputMessage="1" showErrorMessage="1" sqref="Q18" xr:uid="{A7DFC458-76C4-44EE-B22B-2C0BB1CD678E}">
      <formula1>$K$39:$K$43</formula1>
    </dataValidation>
    <dataValidation type="list" allowBlank="1" showInputMessage="1" showErrorMessage="1" sqref="L35" xr:uid="{787F282B-D6A3-42DB-9D46-2131E3BD301A}">
      <formula1>$K$47:$K$51</formula1>
    </dataValidation>
    <dataValidation type="list" allowBlank="1" showInputMessage="1" showErrorMessage="1" sqref="K35" xr:uid="{3AF4C726-6F2C-4E28-9E1D-1230713E6DC2}">
      <formula1>$N$60:$N$87</formula1>
    </dataValidation>
  </dataValidations>
  <hyperlinks>
    <hyperlink ref="AL16" r:id="rId1" display="https://ifamcr.sharepoint.com/sites/POI2020HMDDGFM/Documentos%20compartidos/Forms/AllItems.aspx?newTargetListUrl=%2Fsites%2FPOI2020HMDDGFM%2FDocumentos%20compartidos&amp;viewpath=%2Fsites%2FPOI2020HMDDGFM%2FDocumentos%20compartidos%2FForms%2FAllItems%2Easpx&amp;viewid=fd862453%2Dfaa3%2D4849%2Db663%2Dd5c7520233b1_x000a_" xr:uid="{C4BF3F69-5556-4223-9C15-8C444A9ABE64}"/>
  </hyperlinks>
  <printOptions horizontalCentered="1" verticalCentered="1"/>
  <pageMargins left="0.31496062992125984" right="0.31496062992125984" top="0.55118110236220474" bottom="0.55118110236220474" header="0.31496062992125984" footer="0.31496062992125984"/>
  <pageSetup paperSize="5" scale="25" fitToHeight="0" orientation="landscape" r:id="rId2"/>
  <rowBreaks count="4" manualBreakCount="4">
    <brk id="20" max="35" man="1"/>
    <brk id="26" max="35" man="1"/>
    <brk id="32" max="35" man="1"/>
    <brk id="36" max="35" man="1"/>
  </rowBreaks>
  <colBreaks count="1" manualBreakCount="1">
    <brk id="35" max="42" man="1"/>
  </colBreaks>
  <drawing r:id="rId3"/>
  <legacyDrawing r:id="rId4"/>
  <extLst>
    <ext xmlns:x14="http://schemas.microsoft.com/office/spreadsheetml/2009/9/main" uri="{CCE6A557-97BC-4b89-ADB6-D9C93CAAB3DF}">
      <x14:dataValidations xmlns:xm="http://schemas.microsoft.com/office/excel/2006/main" count="1">
        <x14:dataValidation type="list" showInputMessage="1" showErrorMessage="1" xr:uid="{1CE83CA8-9075-49BA-8C25-3227A8C98DF0}">
          <x14:formula1>
            <xm:f>'C:\Users\rrodriguez\Desktop\mapp 2019 Programa i\[MAPP 2019  ASESORIA JURIDICA.xlsx]OBJETIVOS ESTRATEGICOS'!#REF!</xm:f>
          </x14:formula1>
          <xm:sqref>K41:K43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7E294-C25E-49BB-BBF0-DAD7212E10A3}">
  <dimension ref="A6:Q215"/>
  <sheetViews>
    <sheetView topLeftCell="A37" zoomScaleNormal="100" workbookViewId="0">
      <selection activeCell="A105" sqref="A105"/>
    </sheetView>
  </sheetViews>
  <sheetFormatPr baseColWidth="10" defaultColWidth="11.5703125" defaultRowHeight="15" x14ac:dyDescent="0.25"/>
  <cols>
    <col min="1" max="1" width="19.85546875" style="13" customWidth="1"/>
    <col min="2" max="2" width="38.42578125" style="13" customWidth="1"/>
    <col min="3" max="3" width="14.5703125" style="13" customWidth="1"/>
    <col min="4" max="4" width="21.140625" style="13" customWidth="1"/>
    <col min="5" max="5" width="15.85546875" style="13" customWidth="1"/>
    <col min="6" max="6" width="17.85546875" style="354" customWidth="1"/>
    <col min="7" max="7" width="16.7109375" style="354" customWidth="1"/>
    <col min="8" max="9" width="18" style="13" customWidth="1"/>
    <col min="10" max="10" width="19.28515625" style="13" customWidth="1"/>
    <col min="11" max="11" width="15.42578125" style="13" customWidth="1"/>
    <col min="12" max="13" width="11.5703125" style="13" customWidth="1"/>
    <col min="14" max="16384" width="11.5703125" style="13"/>
  </cols>
  <sheetData>
    <row r="6" spans="1:7" x14ac:dyDescent="0.25">
      <c r="F6" s="351">
        <v>1000000</v>
      </c>
      <c r="G6" s="351"/>
    </row>
    <row r="7" spans="1:7" ht="15" hidden="1" customHeight="1" x14ac:dyDescent="0.25">
      <c r="A7" s="605" t="s">
        <v>520</v>
      </c>
      <c r="B7" s="606"/>
      <c r="C7" s="352">
        <v>6781.69</v>
      </c>
      <c r="D7" s="353">
        <v>37.61</v>
      </c>
    </row>
    <row r="8" spans="1:7" ht="15" hidden="1" customHeight="1" x14ac:dyDescent="0.25">
      <c r="A8" s="355">
        <v>1.01</v>
      </c>
      <c r="B8" s="356" t="s">
        <v>521</v>
      </c>
      <c r="C8" s="357">
        <v>101.57</v>
      </c>
      <c r="D8" s="356">
        <v>1.5</v>
      </c>
    </row>
    <row r="9" spans="1:7" ht="15" hidden="1" customHeight="1" x14ac:dyDescent="0.25">
      <c r="A9" s="355">
        <v>1.02</v>
      </c>
      <c r="B9" s="358" t="s">
        <v>522</v>
      </c>
      <c r="C9" s="357">
        <v>122.29</v>
      </c>
      <c r="D9" s="356">
        <v>1.8</v>
      </c>
    </row>
    <row r="10" spans="1:7" ht="15" hidden="1" customHeight="1" x14ac:dyDescent="0.25">
      <c r="A10" s="355">
        <v>1.03</v>
      </c>
      <c r="B10" s="358" t="s">
        <v>523</v>
      </c>
      <c r="C10" s="357">
        <v>35.54</v>
      </c>
      <c r="D10" s="356">
        <v>0.52</v>
      </c>
    </row>
    <row r="11" spans="1:7" ht="15" hidden="1" customHeight="1" x14ac:dyDescent="0.25">
      <c r="A11" s="355">
        <v>1.04</v>
      </c>
      <c r="B11" s="358" t="s">
        <v>524</v>
      </c>
      <c r="C11" s="357">
        <v>217.88</v>
      </c>
      <c r="D11" s="356">
        <v>3.21</v>
      </c>
    </row>
    <row r="12" spans="1:7" ht="15" hidden="1" customHeight="1" x14ac:dyDescent="0.25">
      <c r="A12" s="355">
        <v>1.05</v>
      </c>
      <c r="B12" s="358" t="s">
        <v>525</v>
      </c>
      <c r="C12" s="357">
        <v>255.06</v>
      </c>
      <c r="D12" s="356">
        <v>3.76</v>
      </c>
    </row>
    <row r="13" spans="1:7" ht="15" hidden="1" customHeight="1" x14ac:dyDescent="0.25">
      <c r="A13" s="355">
        <v>1.06</v>
      </c>
      <c r="B13" s="358" t="s">
        <v>526</v>
      </c>
      <c r="C13" s="357">
        <v>187.38</v>
      </c>
      <c r="D13" s="356">
        <v>2.76</v>
      </c>
    </row>
    <row r="14" spans="1:7" ht="15" hidden="1" customHeight="1" x14ac:dyDescent="0.25">
      <c r="A14" s="355">
        <v>1.07</v>
      </c>
      <c r="B14" s="358" t="s">
        <v>527</v>
      </c>
      <c r="C14" s="357">
        <v>108.26</v>
      </c>
      <c r="D14" s="356">
        <v>1.6</v>
      </c>
    </row>
    <row r="15" spans="1:7" ht="15" hidden="1" customHeight="1" x14ac:dyDescent="0.25">
      <c r="A15" s="355">
        <v>1.08</v>
      </c>
      <c r="B15" s="358" t="s">
        <v>528</v>
      </c>
      <c r="C15" s="357">
        <v>4275.46</v>
      </c>
      <c r="D15" s="356">
        <v>63.04</v>
      </c>
    </row>
    <row r="16" spans="1:7" ht="15" hidden="1" customHeight="1" x14ac:dyDescent="0.25">
      <c r="A16" s="355">
        <v>1.0900000000000001</v>
      </c>
      <c r="B16" s="358" t="s">
        <v>529</v>
      </c>
      <c r="C16" s="357">
        <v>1460.74</v>
      </c>
      <c r="D16" s="356">
        <v>21.54</v>
      </c>
    </row>
    <row r="17" spans="1:13" ht="15" hidden="1" customHeight="1" x14ac:dyDescent="0.25">
      <c r="A17" s="355">
        <v>1.1000000000000001</v>
      </c>
      <c r="B17" s="358" t="s">
        <v>530</v>
      </c>
      <c r="C17" s="357">
        <v>17.5</v>
      </c>
      <c r="D17" s="356">
        <v>0.26</v>
      </c>
    </row>
    <row r="18" spans="1:13" x14ac:dyDescent="0.25">
      <c r="A18" s="607" t="s">
        <v>531</v>
      </c>
      <c r="B18" s="607"/>
      <c r="C18" s="607"/>
      <c r="D18" s="607"/>
      <c r="E18" s="607"/>
    </row>
    <row r="19" spans="1:13" x14ac:dyDescent="0.25">
      <c r="A19" s="607" t="s">
        <v>572</v>
      </c>
      <c r="B19" s="607"/>
      <c r="C19" s="607"/>
      <c r="D19" s="607"/>
      <c r="E19" s="607"/>
    </row>
    <row r="20" spans="1:13" x14ac:dyDescent="0.25">
      <c r="A20" s="607" t="s">
        <v>532</v>
      </c>
      <c r="B20" s="607"/>
      <c r="C20" s="607"/>
      <c r="D20" s="607"/>
      <c r="E20" s="607"/>
    </row>
    <row r="21" spans="1:13" ht="15.75" thickBot="1" x14ac:dyDescent="0.3">
      <c r="A21" s="608" t="s">
        <v>533</v>
      </c>
      <c r="B21" s="608"/>
      <c r="C21" s="608"/>
      <c r="D21" s="608"/>
      <c r="E21" s="608"/>
    </row>
    <row r="22" spans="1:13" ht="45.75" thickBot="1" x14ac:dyDescent="0.3">
      <c r="A22" s="359" t="s">
        <v>534</v>
      </c>
      <c r="B22" s="360" t="s">
        <v>535</v>
      </c>
      <c r="C22" s="360" t="s">
        <v>536</v>
      </c>
      <c r="D22" s="361" t="s">
        <v>537</v>
      </c>
      <c r="E22" s="360" t="s">
        <v>538</v>
      </c>
      <c r="F22" s="360" t="s">
        <v>539</v>
      </c>
      <c r="G22" s="360" t="s">
        <v>540</v>
      </c>
      <c r="H22" s="360" t="s">
        <v>541</v>
      </c>
      <c r="I22" s="360" t="s">
        <v>540</v>
      </c>
      <c r="J22" s="361" t="s">
        <v>542</v>
      </c>
      <c r="K22" s="360" t="s">
        <v>579</v>
      </c>
      <c r="L22" s="470"/>
    </row>
    <row r="23" spans="1:13" x14ac:dyDescent="0.25">
      <c r="A23" s="362" t="s">
        <v>543</v>
      </c>
      <c r="B23" s="363"/>
      <c r="C23" s="363"/>
      <c r="D23" s="363"/>
      <c r="E23" s="363"/>
      <c r="F23" s="362"/>
      <c r="G23" s="363"/>
      <c r="H23" s="363"/>
      <c r="I23" s="363"/>
      <c r="J23" s="363"/>
      <c r="K23" s="363"/>
      <c r="L23" s="469"/>
    </row>
    <row r="24" spans="1:13" x14ac:dyDescent="0.25">
      <c r="A24" s="364" t="s">
        <v>544</v>
      </c>
      <c r="B24" s="365" t="s">
        <v>51</v>
      </c>
      <c r="C24" s="366">
        <v>1</v>
      </c>
      <c r="D24" s="367">
        <f>+'MAPP IFAM 2020 PROG. I'!AC18</f>
        <v>62811254.450000003</v>
      </c>
      <c r="E24" s="368">
        <f t="shared" ref="E24:E33" si="0">+D24/$D$34</f>
        <v>8.0363965203713947E-3</v>
      </c>
      <c r="F24" s="369">
        <f>+'MAPP IFAM 2020 PROG. I'!AI18</f>
        <v>25386995.009999998</v>
      </c>
      <c r="G24" s="370">
        <f t="shared" ref="G24:G33" si="1">+F24/D24</f>
        <v>0.40417907956620974</v>
      </c>
      <c r="H24" s="369">
        <f>+'MAPP IFAM 2020 PROG. I'!AJ19</f>
        <v>10435763.630000001</v>
      </c>
      <c r="I24" s="370">
        <f>+H24/D24</f>
        <v>0.16614480512098737</v>
      </c>
      <c r="J24" s="423">
        <f>+F24+H24</f>
        <v>35822758.640000001</v>
      </c>
      <c r="K24" s="426">
        <f>+G24+I24</f>
        <v>0.57032388468719708</v>
      </c>
      <c r="L24" s="166">
        <f>+J24-'MAPP IFAM 2020 PROG. I'!AK18</f>
        <v>0</v>
      </c>
      <c r="M24" s="372">
        <f>+E24*F6</f>
        <v>8036.3965203713951</v>
      </c>
    </row>
    <row r="25" spans="1:13" x14ac:dyDescent="0.25">
      <c r="A25" s="364">
        <v>1.02</v>
      </c>
      <c r="B25" s="365" t="s">
        <v>522</v>
      </c>
      <c r="C25" s="366">
        <v>1</v>
      </c>
      <c r="D25" s="367">
        <f>+'MAPP IFAM 2020 PROG. I'!AC20</f>
        <v>140658850.94</v>
      </c>
      <c r="E25" s="368">
        <f t="shared" si="0"/>
        <v>1.7996620353339474E-2</v>
      </c>
      <c r="F25" s="369">
        <f>+'MAPP IFAM 2020 PROG. I'!AI20</f>
        <v>40571029.5</v>
      </c>
      <c r="G25" s="370">
        <f t="shared" si="1"/>
        <v>0.28843566706873031</v>
      </c>
      <c r="H25" s="369">
        <f>+'MAPP IFAM 2020 PROG. I'!AJ20</f>
        <v>13870549.439999998</v>
      </c>
      <c r="I25" s="370">
        <f t="shared" ref="I25:I32" si="2">+H25/D25</f>
        <v>9.8611280749880958E-2</v>
      </c>
      <c r="J25" s="423">
        <f t="shared" ref="J25:J32" si="3">+F25+H25</f>
        <v>54441578.939999998</v>
      </c>
      <c r="K25" s="426">
        <f t="shared" ref="K25:K32" si="4">+G25+I25</f>
        <v>0.38704694781861126</v>
      </c>
      <c r="L25" s="166">
        <f>+J25-'MAPP IFAM 2020 PROG. I'!AK20</f>
        <v>0</v>
      </c>
    </row>
    <row r="26" spans="1:13" x14ac:dyDescent="0.25">
      <c r="A26" s="364" t="s">
        <v>545</v>
      </c>
      <c r="B26" s="365" t="s">
        <v>523</v>
      </c>
      <c r="C26" s="366">
        <v>1</v>
      </c>
      <c r="D26" s="367">
        <f>+'MAPP IFAM 2020 PROG. I'!AC22</f>
        <v>9007313.4000000004</v>
      </c>
      <c r="E26" s="368">
        <f t="shared" si="0"/>
        <v>1.152442228697673E-3</v>
      </c>
      <c r="F26" s="369">
        <f>-'MAPP IFAM 2020 PROG. I'!AI22</f>
        <v>0</v>
      </c>
      <c r="G26" s="370">
        <f t="shared" si="1"/>
        <v>0</v>
      </c>
      <c r="H26" s="369">
        <f>-'MAPP IFAM 2020 PROG. I'!AJ22</f>
        <v>0</v>
      </c>
      <c r="I26" s="370">
        <f t="shared" si="2"/>
        <v>0</v>
      </c>
      <c r="J26" s="423">
        <f t="shared" si="3"/>
        <v>0</v>
      </c>
      <c r="K26" s="426">
        <f t="shared" si="4"/>
        <v>0</v>
      </c>
      <c r="L26" s="166">
        <f>+J26-'MAPP IFAM 2020 PROG. I'!AJ22</f>
        <v>0</v>
      </c>
    </row>
    <row r="27" spans="1:13" x14ac:dyDescent="0.25">
      <c r="A27" s="364" t="s">
        <v>546</v>
      </c>
      <c r="B27" s="365" t="s">
        <v>524</v>
      </c>
      <c r="C27" s="366">
        <v>3</v>
      </c>
      <c r="D27" s="367">
        <f>+'MAPP IFAM 2020 PROG. I'!AC24</f>
        <v>1419277958.3299999</v>
      </c>
      <c r="E27" s="368">
        <f t="shared" si="0"/>
        <v>0.18158975721210147</v>
      </c>
      <c r="F27" s="369">
        <f>+'MAPP IFAM 2020 PROG. I'!AI24+11000</f>
        <v>99136041.520000011</v>
      </c>
      <c r="G27" s="370">
        <f t="shared" si="1"/>
        <v>6.9849630890237241E-2</v>
      </c>
      <c r="H27" s="369">
        <f>+'MAPP IFAM 2020 PROG. I'!AJ24</f>
        <v>1035227865.38</v>
      </c>
      <c r="I27" s="370">
        <f t="shared" si="2"/>
        <v>0.72940459569886207</v>
      </c>
      <c r="J27" s="423">
        <f t="shared" si="3"/>
        <v>1134363906.9000001</v>
      </c>
      <c r="K27" s="426">
        <f t="shared" si="4"/>
        <v>0.79925422658909928</v>
      </c>
      <c r="L27" s="166"/>
    </row>
    <row r="28" spans="1:13" x14ac:dyDescent="0.25">
      <c r="A28" s="364">
        <v>1.05</v>
      </c>
      <c r="B28" s="365" t="s">
        <v>525</v>
      </c>
      <c r="C28" s="366">
        <v>2</v>
      </c>
      <c r="D28" s="367">
        <f>+'MAPP IFAM 2020 PROG. I'!AC28</f>
        <v>180086824.22</v>
      </c>
      <c r="E28" s="368">
        <f t="shared" si="0"/>
        <v>2.3041239029518264E-2</v>
      </c>
      <c r="F28" s="369">
        <f>+'MAPP IFAM 2020 PROG. I'!AI28</f>
        <v>75494149.099999994</v>
      </c>
      <c r="G28" s="370">
        <f t="shared" si="1"/>
        <v>0.4192097307894877</v>
      </c>
      <c r="H28" s="369">
        <f>+'MAPP IFAM 2020 PROG. I'!AJ28</f>
        <v>35249785.250000015</v>
      </c>
      <c r="I28" s="370">
        <f t="shared" si="2"/>
        <v>0.19573772485952506</v>
      </c>
      <c r="J28" s="423">
        <f t="shared" si="3"/>
        <v>110743934.35000001</v>
      </c>
      <c r="K28" s="426">
        <f t="shared" si="4"/>
        <v>0.61494745564901276</v>
      </c>
      <c r="L28" s="166">
        <f>+J28-'MAPP IFAM 2020 PROG. I'!AK28</f>
        <v>0</v>
      </c>
    </row>
    <row r="29" spans="1:13" x14ac:dyDescent="0.25">
      <c r="A29" s="364" t="s">
        <v>547</v>
      </c>
      <c r="B29" s="365" t="s">
        <v>526</v>
      </c>
      <c r="C29" s="366">
        <v>1</v>
      </c>
      <c r="D29" s="367">
        <f>+'MAPP IFAM 2020 PROG. I'!AC31</f>
        <v>85633322.25999999</v>
      </c>
      <c r="E29" s="368">
        <f t="shared" si="0"/>
        <v>1.0956369826778807E-2</v>
      </c>
      <c r="F29" s="369">
        <f>+'MAPP IFAM 2020 PROG. I'!AI31</f>
        <v>39011613.840000004</v>
      </c>
      <c r="G29" s="370">
        <f t="shared" si="1"/>
        <v>0.45556581025261284</v>
      </c>
      <c r="H29" s="369">
        <f>+'MAPP IFAM 2020 PROG. I'!AJ31</f>
        <v>15760445.039999994</v>
      </c>
      <c r="I29" s="370">
        <f t="shared" si="2"/>
        <v>0.18404570351887214</v>
      </c>
      <c r="J29" s="423">
        <f t="shared" si="3"/>
        <v>54772058.879999995</v>
      </c>
      <c r="K29" s="426">
        <f t="shared" si="4"/>
        <v>0.63961151377148495</v>
      </c>
      <c r="L29" s="166">
        <f>+J29-'MAPP IFAM 2020 PROG. I'!AK31</f>
        <v>0</v>
      </c>
    </row>
    <row r="30" spans="1:13" x14ac:dyDescent="0.25">
      <c r="A30" s="364" t="s">
        <v>548</v>
      </c>
      <c r="B30" s="365" t="s">
        <v>527</v>
      </c>
      <c r="C30" s="366">
        <v>2</v>
      </c>
      <c r="D30" s="367">
        <f>+'MAPP IFAM 2020 PROG. I'!AC33</f>
        <v>139679480.73000002</v>
      </c>
      <c r="E30" s="368">
        <f t="shared" si="0"/>
        <v>1.7871314667014349E-2</v>
      </c>
      <c r="F30" s="369">
        <f>+'MAPP IFAM 2020 PROG. I'!AI33</f>
        <v>45051516.770000003</v>
      </c>
      <c r="G30" s="370">
        <f t="shared" si="1"/>
        <v>0.32253496744510696</v>
      </c>
      <c r="H30" s="369">
        <f>+'MAPP IFAM 2020 PROG. I'!AJ33</f>
        <v>19251313.23</v>
      </c>
      <c r="I30" s="370">
        <f t="shared" si="2"/>
        <v>0.13782491980488334</v>
      </c>
      <c r="J30" s="423">
        <f t="shared" si="3"/>
        <v>64302830</v>
      </c>
      <c r="K30" s="426">
        <f t="shared" si="4"/>
        <v>0.46035988724999033</v>
      </c>
      <c r="L30" s="166">
        <f>+J30-'MAPP IFAM 2020 PROG. I'!AK33</f>
        <v>0</v>
      </c>
    </row>
    <row r="31" spans="1:13" x14ac:dyDescent="0.25">
      <c r="A31" s="364" t="s">
        <v>549</v>
      </c>
      <c r="B31" s="365" t="s">
        <v>528</v>
      </c>
      <c r="C31" s="366">
        <v>2</v>
      </c>
      <c r="D31" s="367">
        <f>+'MAPP IFAM 2020 PROG. I'!AC36</f>
        <v>4503436078.3800001</v>
      </c>
      <c r="E31" s="368">
        <f t="shared" si="0"/>
        <v>0.57619288687853976</v>
      </c>
      <c r="F31" s="369">
        <f>+'MAPP IFAM 2020 PROG. I'!AI36</f>
        <v>1875711839.5</v>
      </c>
      <c r="G31" s="370">
        <f t="shared" si="1"/>
        <v>0.4165068198713594</v>
      </c>
      <c r="H31" s="369">
        <f>+'MAPP IFAM 2020 PROG. I'!AJ36</f>
        <v>603645476.18000007</v>
      </c>
      <c r="I31" s="370">
        <f t="shared" si="2"/>
        <v>0.13404108899823591</v>
      </c>
      <c r="J31" s="423">
        <f t="shared" si="3"/>
        <v>2479357315.6800003</v>
      </c>
      <c r="K31" s="426">
        <f t="shared" si="4"/>
        <v>0.55054790886959526</v>
      </c>
      <c r="L31" s="166">
        <f>+J31-'MAPP IFAM 2020 PROG. I'!AK36</f>
        <v>0</v>
      </c>
    </row>
    <row r="32" spans="1:13" ht="19.5" customHeight="1" x14ac:dyDescent="0.25">
      <c r="A32" s="364" t="s">
        <v>550</v>
      </c>
      <c r="B32" s="365" t="s">
        <v>529</v>
      </c>
      <c r="C32" s="366">
        <v>9</v>
      </c>
      <c r="D32" s="367">
        <f>+'MAPP IFAM 2020 PROG. I'!AC39</f>
        <v>1275257014.23</v>
      </c>
      <c r="E32" s="368">
        <f t="shared" si="0"/>
        <v>0.16316297328363874</v>
      </c>
      <c r="F32" s="369">
        <f>+'MAPP IFAM 2020 PROG. I'!AI39</f>
        <v>496883491.16000003</v>
      </c>
      <c r="G32" s="370">
        <f t="shared" si="1"/>
        <v>0.38963399974711621</v>
      </c>
      <c r="H32" s="369">
        <f>+'MAPP IFAM 2020 PROG. I'!AJ39</f>
        <v>117330116.86999999</v>
      </c>
      <c r="I32" s="370">
        <f t="shared" si="2"/>
        <v>9.2005074711032975E-2</v>
      </c>
      <c r="J32" s="423">
        <f t="shared" si="3"/>
        <v>614213608.02999997</v>
      </c>
      <c r="K32" s="426">
        <f t="shared" si="4"/>
        <v>0.48163907445814919</v>
      </c>
      <c r="L32" s="166">
        <f>+J32-'MAPP IFAM 2020 PROG. I'!AK39</f>
        <v>0</v>
      </c>
    </row>
    <row r="33" spans="1:11" ht="12.6" hidden="1" customHeight="1" x14ac:dyDescent="0.25">
      <c r="A33" s="364" t="s">
        <v>545</v>
      </c>
      <c r="B33" s="365" t="s">
        <v>551</v>
      </c>
      <c r="C33" s="366"/>
      <c r="D33" s="367"/>
      <c r="E33" s="368">
        <f t="shared" si="0"/>
        <v>0</v>
      </c>
      <c r="F33" s="373"/>
      <c r="G33" s="370" t="e">
        <f t="shared" si="1"/>
        <v>#DIV/0!</v>
      </c>
      <c r="H33" s="371"/>
      <c r="I33" s="371"/>
      <c r="J33" s="371">
        <f>+L32-11000</f>
        <v>-11000</v>
      </c>
      <c r="K33" s="371"/>
    </row>
    <row r="34" spans="1:11" x14ac:dyDescent="0.25">
      <c r="A34" s="609" t="s">
        <v>552</v>
      </c>
      <c r="B34" s="609"/>
      <c r="C34" s="374">
        <f>SUM(C24:C33)</f>
        <v>22</v>
      </c>
      <c r="D34" s="375">
        <f>SUM(D24:D33)</f>
        <v>7815848096.9400005</v>
      </c>
      <c r="E34" s="376">
        <f>SUM(E24:E33)</f>
        <v>0.99999999999999989</v>
      </c>
      <c r="F34" s="375">
        <f>SUM(F24:F33)</f>
        <v>2697246676.3999996</v>
      </c>
      <c r="G34" s="377">
        <f>+F34/D34</f>
        <v>0.34509967989986967</v>
      </c>
      <c r="H34" s="375">
        <f>SUM(H24:H33)</f>
        <v>1850771315.02</v>
      </c>
      <c r="I34" s="377">
        <f>+H34/D34</f>
        <v>0.23679724734473787</v>
      </c>
      <c r="J34" s="375">
        <f>SUM(J24:J33)</f>
        <v>4548006991.4200001</v>
      </c>
      <c r="K34" s="377">
        <f>+J34/D34</f>
        <v>0.58189551984775656</v>
      </c>
    </row>
    <row r="35" spans="1:11" x14ac:dyDescent="0.25">
      <c r="A35" s="374"/>
      <c r="B35" s="374"/>
      <c r="C35" s="374"/>
      <c r="D35" s="375"/>
      <c r="E35" s="376"/>
      <c r="F35" s="376"/>
      <c r="G35" s="377"/>
      <c r="H35" s="375"/>
      <c r="I35" s="375"/>
      <c r="J35" s="375"/>
      <c r="K35" s="375"/>
    </row>
    <row r="36" spans="1:11" x14ac:dyDescent="0.25">
      <c r="A36" s="607" t="s">
        <v>531</v>
      </c>
      <c r="B36" s="607"/>
      <c r="C36" s="607"/>
      <c r="D36" s="607"/>
      <c r="E36" s="607"/>
      <c r="F36" s="13"/>
      <c r="G36" s="13"/>
    </row>
    <row r="37" spans="1:11" x14ac:dyDescent="0.25">
      <c r="A37" s="607" t="s">
        <v>573</v>
      </c>
      <c r="B37" s="607"/>
      <c r="C37" s="607"/>
      <c r="D37" s="607"/>
      <c r="E37" s="607"/>
      <c r="J37" s="425">
        <f>+J34-'MAPP IFAM 2020 PROG. I'!AK50</f>
        <v>0</v>
      </c>
    </row>
    <row r="38" spans="1:11" x14ac:dyDescent="0.25">
      <c r="A38" s="607" t="s">
        <v>553</v>
      </c>
      <c r="B38" s="607"/>
      <c r="C38" s="607"/>
      <c r="D38" s="607"/>
      <c r="E38" s="607"/>
    </row>
    <row r="39" spans="1:11" ht="15.75" thickBot="1" x14ac:dyDescent="0.3">
      <c r="A39" s="608" t="s">
        <v>533</v>
      </c>
      <c r="B39" s="608"/>
      <c r="C39" s="608"/>
      <c r="D39" s="608"/>
      <c r="E39" s="608"/>
    </row>
    <row r="40" spans="1:11" ht="15.75" thickBot="1" x14ac:dyDescent="0.3">
      <c r="A40" s="378"/>
      <c r="B40" s="378"/>
      <c r="C40" s="378"/>
      <c r="D40" s="379"/>
      <c r="E40" s="379"/>
    </row>
    <row r="41" spans="1:11" ht="45.75" thickBot="1" x14ac:dyDescent="0.3">
      <c r="A41" s="359" t="s">
        <v>534</v>
      </c>
      <c r="B41" s="360" t="s">
        <v>535</v>
      </c>
      <c r="C41" s="360" t="s">
        <v>536</v>
      </c>
      <c r="D41" s="361" t="s">
        <v>537</v>
      </c>
      <c r="E41" s="360" t="s">
        <v>538</v>
      </c>
      <c r="F41" s="360" t="s">
        <v>539</v>
      </c>
      <c r="G41" s="360" t="s">
        <v>540</v>
      </c>
      <c r="H41" s="360" t="s">
        <v>541</v>
      </c>
      <c r="I41" s="360" t="s">
        <v>540</v>
      </c>
      <c r="J41" s="361" t="s">
        <v>542</v>
      </c>
      <c r="K41" s="360" t="s">
        <v>579</v>
      </c>
    </row>
    <row r="42" spans="1:11" ht="15.75" thickBot="1" x14ac:dyDescent="0.3">
      <c r="A42" s="610" t="s">
        <v>554</v>
      </c>
      <c r="B42" s="611"/>
      <c r="C42" s="380"/>
      <c r="D42" s="381"/>
      <c r="E42" s="382"/>
      <c r="F42" s="382"/>
      <c r="G42" s="382"/>
      <c r="H42" s="382"/>
      <c r="I42" s="382"/>
      <c r="J42" s="382"/>
      <c r="K42" s="382"/>
    </row>
    <row r="43" spans="1:11" ht="26.25" thickBot="1" x14ac:dyDescent="0.3">
      <c r="A43" s="383">
        <v>2.0099999999999998</v>
      </c>
      <c r="B43" s="384" t="s">
        <v>555</v>
      </c>
      <c r="C43" s="385">
        <v>1</v>
      </c>
      <c r="D43" s="386">
        <f>+'MAPP IFAM PROG. II'!AC15</f>
        <v>134184588.33999999</v>
      </c>
      <c r="E43" s="387">
        <f>+D43/$D$49</f>
        <v>7.791648871970965E-3</v>
      </c>
      <c r="F43" s="386">
        <f>+'MAPP IFAM PROG. II'!AE16</f>
        <v>33876561.979999997</v>
      </c>
      <c r="G43" s="388">
        <f>+F43/D43</f>
        <v>0.252462390793813</v>
      </c>
      <c r="H43" s="386">
        <f>+'MAPP IFAM PROG. II'!AF15</f>
        <v>20425764.969999999</v>
      </c>
      <c r="I43" s="388">
        <f>+H43/D43</f>
        <v>0.15222139310249794</v>
      </c>
      <c r="J43" s="386">
        <f>+F43+H43</f>
        <v>54302326.949999996</v>
      </c>
      <c r="K43" s="388">
        <f>+G43+I43</f>
        <v>0.40468378389631093</v>
      </c>
    </row>
    <row r="44" spans="1:11" ht="15.75" thickBot="1" x14ac:dyDescent="0.3">
      <c r="A44" s="383">
        <v>2.02</v>
      </c>
      <c r="B44" s="384" t="s">
        <v>556</v>
      </c>
      <c r="C44" s="385">
        <v>4</v>
      </c>
      <c r="D44" s="386">
        <f>+'MAPP IFAM PROG. II'!AC17</f>
        <v>148745483.086</v>
      </c>
      <c r="E44" s="387">
        <f>+D44/$D$49</f>
        <v>8.6371511798447129E-3</v>
      </c>
      <c r="F44" s="386">
        <f>+'MAPP IFAM PROG. II'!AE17</f>
        <v>27889773.830000002</v>
      </c>
      <c r="G44" s="388">
        <f>+F44/D44</f>
        <v>0.1874999714369478</v>
      </c>
      <c r="H44" s="386">
        <f>+'MAPP IFAM PROG. II'!AF17</f>
        <v>11309426.629999999</v>
      </c>
      <c r="I44" s="388">
        <f t="shared" ref="I44:I47" si="5">+H44/D44</f>
        <v>7.6032067632341091E-2</v>
      </c>
      <c r="J44" s="386">
        <f t="shared" ref="J44:J47" si="6">+F44+H44</f>
        <v>39199200.460000001</v>
      </c>
      <c r="K44" s="388">
        <f t="shared" ref="K44:K47" si="7">+G44+I44</f>
        <v>0.2635320390692889</v>
      </c>
    </row>
    <row r="45" spans="1:11" ht="26.25" thickBot="1" x14ac:dyDescent="0.3">
      <c r="A45" s="389">
        <v>2.0299999999999998</v>
      </c>
      <c r="B45" s="390" t="s">
        <v>557</v>
      </c>
      <c r="C45" s="391">
        <v>5</v>
      </c>
      <c r="D45" s="386">
        <f>+'MAPP IFAM PROG. II'!AC22</f>
        <v>14938740397.670002</v>
      </c>
      <c r="E45" s="387">
        <f>+D45/$D$49</f>
        <v>0.86744253724013443</v>
      </c>
      <c r="F45" s="386">
        <f>+'MAPP IFAM PROG. II'!AE22</f>
        <v>4502658435.1499996</v>
      </c>
      <c r="G45" s="388">
        <f>+F45/D45</f>
        <v>0.30140817199368963</v>
      </c>
      <c r="H45" s="386">
        <f>+'MAPP IFAM PROG. II'!AF22</f>
        <v>571996745.87</v>
      </c>
      <c r="I45" s="388">
        <f t="shared" si="5"/>
        <v>3.8289489651966539E-2</v>
      </c>
      <c r="J45" s="386">
        <f t="shared" si="6"/>
        <v>5074655181.0199995</v>
      </c>
      <c r="K45" s="388">
        <f t="shared" si="7"/>
        <v>0.33969766164565618</v>
      </c>
    </row>
    <row r="46" spans="1:11" ht="15.75" thickBot="1" x14ac:dyDescent="0.3">
      <c r="A46" s="383">
        <v>2.04</v>
      </c>
      <c r="B46" s="384" t="s">
        <v>558</v>
      </c>
      <c r="C46" s="385">
        <v>3</v>
      </c>
      <c r="D46" s="386">
        <f>+'MAPP IFAM PROG. II'!AC28</f>
        <v>830663395.23000002</v>
      </c>
      <c r="E46" s="387">
        <f>+D46/$D$49</f>
        <v>4.8233836586597391E-2</v>
      </c>
      <c r="F46" s="386">
        <f>+'MAPP IFAM PROG. II'!AE28</f>
        <v>55632805.219999999</v>
      </c>
      <c r="G46" s="388">
        <f>+F46/D46</f>
        <v>6.6973945811824281E-2</v>
      </c>
      <c r="H46" s="386">
        <f>+'MAPP IFAM PROG. II'!AF28</f>
        <v>28124250.43</v>
      </c>
      <c r="I46" s="388">
        <f t="shared" si="5"/>
        <v>3.385757768008154E-2</v>
      </c>
      <c r="J46" s="386">
        <f t="shared" si="6"/>
        <v>83757055.650000006</v>
      </c>
      <c r="K46" s="388">
        <f t="shared" si="7"/>
        <v>0.10083152349190583</v>
      </c>
    </row>
    <row r="47" spans="1:11" ht="15.75" thickBot="1" x14ac:dyDescent="0.3">
      <c r="A47" s="383">
        <v>2.0499999999999998</v>
      </c>
      <c r="B47" s="384" t="s">
        <v>559</v>
      </c>
      <c r="C47" s="385">
        <v>5</v>
      </c>
      <c r="D47" s="386">
        <f>+'MAPP IFAM PROG. II'!AC37</f>
        <v>1169256911.2420001</v>
      </c>
      <c r="E47" s="387">
        <f>+D47/$D$49</f>
        <v>6.789482612145252E-2</v>
      </c>
      <c r="F47" s="386">
        <f>+'MAPP IFAM PROG. II'!AE37</f>
        <v>172182540.62996298</v>
      </c>
      <c r="G47" s="388">
        <f>+F47/D47</f>
        <v>0.14725809099308074</v>
      </c>
      <c r="H47" s="386">
        <f>+'MAPP IFAM PROG. II'!AF37</f>
        <v>79919397.109999985</v>
      </c>
      <c r="I47" s="388">
        <f t="shared" si="5"/>
        <v>6.8350587746459024E-2</v>
      </c>
      <c r="J47" s="386">
        <f t="shared" si="6"/>
        <v>252101937.73996297</v>
      </c>
      <c r="K47" s="388">
        <f t="shared" si="7"/>
        <v>0.21560867873953976</v>
      </c>
    </row>
    <row r="48" spans="1:11" ht="15.75" thickBot="1" x14ac:dyDescent="0.3">
      <c r="A48" s="383"/>
      <c r="B48" s="384"/>
      <c r="C48" s="385"/>
      <c r="D48" s="392"/>
      <c r="E48" s="393"/>
      <c r="H48" s="354"/>
      <c r="I48" s="354"/>
      <c r="J48" s="354"/>
      <c r="K48" s="354"/>
    </row>
    <row r="49" spans="1:13" ht="15.75" thickBot="1" x14ac:dyDescent="0.3">
      <c r="A49" s="394" t="s">
        <v>560</v>
      </c>
      <c r="B49" s="395"/>
      <c r="C49" s="380">
        <f>SUM(C43:C48)</f>
        <v>18</v>
      </c>
      <c r="D49" s="381">
        <f>SUM(D43:D48)</f>
        <v>17221590775.568001</v>
      </c>
      <c r="E49" s="396">
        <f>SUM(E43:E48)</f>
        <v>1</v>
      </c>
      <c r="F49" s="397">
        <f>SUM(F43:F47)</f>
        <v>4792240116.8099632</v>
      </c>
      <c r="G49" s="382">
        <f>+F49/D49</f>
        <v>0.27826930620187762</v>
      </c>
      <c r="H49" s="427">
        <f>SUM(H43:H47)</f>
        <v>711775585.00999999</v>
      </c>
      <c r="I49" s="382">
        <f>+H49/D49</f>
        <v>4.1330420301229361E-2</v>
      </c>
      <c r="J49" s="427">
        <f>SUM(J43:J48)</f>
        <v>5504015701.8199615</v>
      </c>
      <c r="K49" s="382">
        <f>+J49/D49</f>
        <v>0.31959972650310692</v>
      </c>
    </row>
    <row r="50" spans="1:13" x14ac:dyDescent="0.25">
      <c r="A50" s="398"/>
      <c r="B50" s="399"/>
      <c r="C50" s="399"/>
      <c r="D50" s="400"/>
      <c r="E50" s="401"/>
    </row>
    <row r="51" spans="1:13" x14ac:dyDescent="0.25">
      <c r="A51" s="604" t="s">
        <v>561</v>
      </c>
      <c r="B51" s="604"/>
      <c r="C51" s="402">
        <f>+C34+C49</f>
        <v>40</v>
      </c>
      <c r="D51" s="403">
        <f t="shared" ref="D51:K51" si="8">+D49+D34</f>
        <v>25037438872.508003</v>
      </c>
      <c r="E51" s="403">
        <f t="shared" si="8"/>
        <v>2</v>
      </c>
      <c r="F51" s="403">
        <f t="shared" si="8"/>
        <v>7489486793.2099628</v>
      </c>
      <c r="G51" s="403">
        <f t="shared" si="8"/>
        <v>0.62336898610174729</v>
      </c>
      <c r="H51" s="403">
        <f t="shared" si="8"/>
        <v>2562546900.0299997</v>
      </c>
      <c r="I51" s="403"/>
      <c r="J51" s="403">
        <f t="shared" si="8"/>
        <v>10052022693.239962</v>
      </c>
      <c r="K51" s="403">
        <f t="shared" si="8"/>
        <v>0.90149524635086342</v>
      </c>
    </row>
    <row r="53" spans="1:13" ht="15.75" thickBot="1" x14ac:dyDescent="0.3"/>
    <row r="54" spans="1:13" ht="45.75" thickBot="1" x14ac:dyDescent="0.3">
      <c r="A54" s="594" t="s">
        <v>535</v>
      </c>
      <c r="B54" s="595"/>
      <c r="C54" s="360" t="s">
        <v>536</v>
      </c>
      <c r="D54" s="361" t="s">
        <v>562</v>
      </c>
      <c r="E54" s="404" t="s">
        <v>538</v>
      </c>
      <c r="F54" s="405" t="s">
        <v>539</v>
      </c>
      <c r="G54" s="433" t="s">
        <v>540</v>
      </c>
      <c r="H54" s="434" t="s">
        <v>541</v>
      </c>
      <c r="I54" s="434" t="s">
        <v>540</v>
      </c>
      <c r="J54" s="435" t="s">
        <v>542</v>
      </c>
      <c r="K54" s="434" t="s">
        <v>579</v>
      </c>
    </row>
    <row r="55" spans="1:13" x14ac:dyDescent="0.25">
      <c r="A55" s="596" t="s">
        <v>563</v>
      </c>
      <c r="B55" s="597"/>
      <c r="C55" s="406">
        <f>+C34</f>
        <v>22</v>
      </c>
      <c r="D55" s="407">
        <f>+D34</f>
        <v>7815848096.9400005</v>
      </c>
      <c r="E55" s="408">
        <f>+D55/D57</f>
        <v>0.31216643749940731</v>
      </c>
      <c r="F55" s="409">
        <f>+F34</f>
        <v>2697246676.3999996</v>
      </c>
      <c r="G55" s="429">
        <f>+F55/D55</f>
        <v>0.34509967989986967</v>
      </c>
      <c r="H55" s="436">
        <f>+H34</f>
        <v>1850771315.02</v>
      </c>
      <c r="I55" s="438">
        <f>+H55/D55</f>
        <v>0.23679724734473787</v>
      </c>
      <c r="J55" s="437">
        <f>+F55+H55</f>
        <v>4548017991.4200001</v>
      </c>
      <c r="K55" s="426">
        <f>+G55+I55</f>
        <v>0.58189692724460751</v>
      </c>
    </row>
    <row r="56" spans="1:13" x14ac:dyDescent="0.25">
      <c r="A56" s="598" t="s">
        <v>564</v>
      </c>
      <c r="B56" s="599"/>
      <c r="C56" s="410">
        <f>+C49</f>
        <v>18</v>
      </c>
      <c r="D56" s="411">
        <f>SUM(D49)</f>
        <v>17221590775.568001</v>
      </c>
      <c r="E56" s="412">
        <f>+D56/D57</f>
        <v>0.68783356250059258</v>
      </c>
      <c r="F56" s="413">
        <f>+F49</f>
        <v>4792240116.8099632</v>
      </c>
      <c r="G56" s="429">
        <f>+F56/D56</f>
        <v>0.27826930620187762</v>
      </c>
      <c r="H56" s="436">
        <f>+H49</f>
        <v>711775585.00999999</v>
      </c>
      <c r="I56" s="438">
        <f>+H56/D56</f>
        <v>4.1330420301229361E-2</v>
      </c>
      <c r="J56" s="437">
        <f>+F56+H56</f>
        <v>5504015701.8199635</v>
      </c>
      <c r="K56" s="426">
        <f>+G56+I56</f>
        <v>0.31959972650310697</v>
      </c>
    </row>
    <row r="57" spans="1:13" ht="15.75" thickBot="1" x14ac:dyDescent="0.3">
      <c r="A57" s="600" t="s">
        <v>565</v>
      </c>
      <c r="B57" s="601"/>
      <c r="C57" s="414">
        <f>SUM(C55:C56)</f>
        <v>40</v>
      </c>
      <c r="D57" s="415">
        <f>SUM(D55:D56)</f>
        <v>25037438872.508003</v>
      </c>
      <c r="E57" s="416">
        <f>SUM(E55:E56)</f>
        <v>0.99999999999999989</v>
      </c>
      <c r="F57" s="417">
        <f>+F55+F56</f>
        <v>7489486793.2099628</v>
      </c>
      <c r="G57" s="428">
        <f>+F57/D57</f>
        <v>0.29913150587593385</v>
      </c>
      <c r="H57" s="431">
        <f>SUM(H55:H56)</f>
        <v>2562546900.0299997</v>
      </c>
      <c r="I57" s="430"/>
      <c r="J57" s="439">
        <f>SUM(J55:J56)</f>
        <v>10052033693.239964</v>
      </c>
      <c r="K57" s="432"/>
    </row>
    <row r="58" spans="1:13" s="354" customFormat="1" x14ac:dyDescent="0.25">
      <c r="A58" s="13"/>
      <c r="B58" s="13"/>
      <c r="C58" s="13"/>
      <c r="D58" s="602" t="s">
        <v>566</v>
      </c>
      <c r="E58" s="602"/>
      <c r="F58" s="418">
        <f>+F57/D57</f>
        <v>0.29913150587593385</v>
      </c>
      <c r="G58" s="418">
        <f>+G57/E57</f>
        <v>0.2991315058759339</v>
      </c>
      <c r="H58" s="428">
        <f>+H57/D57</f>
        <v>0.10234860334871421</v>
      </c>
      <c r="I58" s="440">
        <f>+H57/D57</f>
        <v>0.10234860334871421</v>
      </c>
      <c r="J58" s="441">
        <f>+J57/D57</f>
        <v>0.40148010922464811</v>
      </c>
      <c r="K58" s="428"/>
      <c r="L58" s="13"/>
      <c r="M58" s="13"/>
    </row>
    <row r="59" spans="1:13" s="354" customFormat="1" hidden="1" x14ac:dyDescent="0.25">
      <c r="A59" s="13"/>
      <c r="B59" s="13"/>
      <c r="C59" s="13"/>
      <c r="D59" s="419">
        <f>+[5]Hoja1!$E$5</f>
        <v>7014599220</v>
      </c>
      <c r="E59" s="13"/>
      <c r="H59" s="13"/>
      <c r="I59" s="13"/>
      <c r="J59" s="13"/>
      <c r="K59" s="13"/>
      <c r="L59" s="13"/>
      <c r="M59" s="13"/>
    </row>
    <row r="60" spans="1:13" s="354" customFormat="1" hidden="1" x14ac:dyDescent="0.25">
      <c r="A60" s="13"/>
      <c r="B60" s="13"/>
      <c r="C60" s="13"/>
      <c r="D60" s="166">
        <f>+D57+D59</f>
        <v>32052038092.508003</v>
      </c>
      <c r="E60" s="13"/>
      <c r="H60" s="13"/>
      <c r="I60" s="13"/>
      <c r="J60" s="13"/>
      <c r="K60" s="13"/>
      <c r="L60" s="13"/>
      <c r="M60" s="13"/>
    </row>
    <row r="61" spans="1:13" s="354" customFormat="1" hidden="1" x14ac:dyDescent="0.25">
      <c r="A61" s="13"/>
      <c r="B61" s="13"/>
      <c r="C61" s="13"/>
      <c r="D61" s="166"/>
      <c r="E61" s="13"/>
      <c r="H61" s="13"/>
      <c r="I61" s="13"/>
      <c r="J61" s="13"/>
      <c r="K61" s="13"/>
      <c r="L61" s="13"/>
      <c r="M61" s="13"/>
    </row>
    <row r="62" spans="1:13" s="354" customFormat="1" ht="15.75" hidden="1" thickBot="1" x14ac:dyDescent="0.3">
      <c r="A62" s="13"/>
      <c r="B62" s="13"/>
      <c r="C62" s="13"/>
      <c r="D62" s="13" t="s">
        <v>567</v>
      </c>
      <c r="E62" s="420" t="s">
        <v>568</v>
      </c>
      <c r="H62" s="13"/>
      <c r="I62" s="13"/>
      <c r="J62" s="13"/>
      <c r="K62" s="13"/>
      <c r="L62" s="13"/>
      <c r="M62" s="13"/>
    </row>
    <row r="65" spans="1:17" s="354" customFormat="1" ht="31.5" customHeight="1" x14ac:dyDescent="0.25">
      <c r="A65" s="12" t="str">
        <f>+A54</f>
        <v xml:space="preserve">PROGRAMA Y UNIDAD PRESUPUESTARIA </v>
      </c>
      <c r="B65" s="603" t="s">
        <v>563</v>
      </c>
      <c r="C65" s="603"/>
      <c r="D65" s="603" t="s">
        <v>564</v>
      </c>
      <c r="E65" s="603"/>
      <c r="H65" s="13"/>
      <c r="I65" s="13"/>
      <c r="J65" s="13"/>
      <c r="K65" s="13"/>
      <c r="L65" s="13"/>
      <c r="M65" s="13"/>
    </row>
    <row r="66" spans="1:17" s="354" customFormat="1" ht="30.75" customHeight="1" x14ac:dyDescent="0.25">
      <c r="A66" s="12" t="str">
        <f>+E54</f>
        <v xml:space="preserve">PARTICIPACIÓN RELATIVA (%) </v>
      </c>
      <c r="B66" s="591">
        <f>+E55</f>
        <v>0.31216643749940731</v>
      </c>
      <c r="C66" s="592"/>
      <c r="D66" s="593">
        <f>+E56</f>
        <v>0.68783356250059258</v>
      </c>
      <c r="E66" s="593"/>
      <c r="H66" s="13"/>
      <c r="I66" s="13"/>
      <c r="J66" s="13"/>
      <c r="K66" s="13"/>
      <c r="L66" s="13"/>
      <c r="M66" s="13"/>
    </row>
    <row r="68" spans="1:17" x14ac:dyDescent="0.25">
      <c r="C68" s="615" t="s">
        <v>580</v>
      </c>
      <c r="D68" s="615"/>
      <c r="E68" s="615"/>
      <c r="F68" s="615"/>
      <c r="G68" s="615"/>
      <c r="H68" s="615"/>
      <c r="I68" s="615"/>
    </row>
    <row r="69" spans="1:17" x14ac:dyDescent="0.25">
      <c r="C69" s="615" t="s">
        <v>581</v>
      </c>
      <c r="D69" s="615"/>
      <c r="E69" s="615"/>
      <c r="F69" s="615"/>
      <c r="G69" s="615"/>
      <c r="H69" s="615"/>
      <c r="I69" s="615"/>
    </row>
    <row r="70" spans="1:17" x14ac:dyDescent="0.25">
      <c r="C70" s="615" t="s">
        <v>582</v>
      </c>
      <c r="D70" s="615"/>
      <c r="E70" s="615"/>
      <c r="F70" s="615"/>
      <c r="G70" s="615"/>
      <c r="H70" s="615"/>
      <c r="I70" s="615"/>
    </row>
    <row r="71" spans="1:17" x14ac:dyDescent="0.25">
      <c r="C71" s="615" t="s">
        <v>590</v>
      </c>
      <c r="D71" s="615"/>
      <c r="E71" s="615"/>
      <c r="F71" s="615"/>
      <c r="G71" s="615"/>
      <c r="H71" s="615"/>
      <c r="I71" s="615"/>
    </row>
    <row r="72" spans="1:17" x14ac:dyDescent="0.25">
      <c r="F72" s="13"/>
      <c r="G72" s="13"/>
    </row>
    <row r="73" spans="1:17" x14ac:dyDescent="0.25">
      <c r="G73" s="13"/>
    </row>
    <row r="74" spans="1:17" ht="45" x14ac:dyDescent="0.25">
      <c r="C74" s="371" t="s">
        <v>596</v>
      </c>
      <c r="D74" s="471" t="s">
        <v>583</v>
      </c>
      <c r="E74" s="483" t="s">
        <v>598</v>
      </c>
      <c r="F74" s="483" t="s">
        <v>447</v>
      </c>
      <c r="G74" s="481" t="s">
        <v>589</v>
      </c>
      <c r="H74" s="481" t="s">
        <v>447</v>
      </c>
      <c r="I74" s="482" t="s">
        <v>591</v>
      </c>
      <c r="J74" s="482" t="s">
        <v>447</v>
      </c>
      <c r="K74" s="484" t="s">
        <v>454</v>
      </c>
    </row>
    <row r="75" spans="1:17" ht="18.75" customHeight="1" x14ac:dyDescent="0.25">
      <c r="C75" s="371" t="s">
        <v>593</v>
      </c>
      <c r="D75" s="616" t="s">
        <v>584</v>
      </c>
      <c r="E75" s="487">
        <v>2</v>
      </c>
      <c r="F75" s="488">
        <f>+E75/K75</f>
        <v>9.0909090909090912E-2</v>
      </c>
      <c r="G75" s="487">
        <v>2</v>
      </c>
      <c r="H75" s="485">
        <f>+G75/K75</f>
        <v>9.0909090909090912E-2</v>
      </c>
      <c r="I75" s="487">
        <v>18</v>
      </c>
      <c r="J75" s="485">
        <f>+I75/K75</f>
        <v>0.81818181818181823</v>
      </c>
      <c r="K75" s="486">
        <f>+E75+G75+I75</f>
        <v>22</v>
      </c>
    </row>
    <row r="76" spans="1:17" ht="15" customHeight="1" x14ac:dyDescent="0.25">
      <c r="C76" s="371" t="s">
        <v>594</v>
      </c>
      <c r="D76" s="616"/>
      <c r="E76" s="486">
        <v>8</v>
      </c>
      <c r="F76" s="485">
        <f>+E76/K76</f>
        <v>0.44444444444444442</v>
      </c>
      <c r="G76" s="486">
        <v>5</v>
      </c>
      <c r="H76" s="485">
        <f>+G76/K76</f>
        <v>0.27777777777777779</v>
      </c>
      <c r="I76" s="486">
        <v>5</v>
      </c>
      <c r="J76" s="485">
        <f>+I76/K76</f>
        <v>0.27777777777777779</v>
      </c>
      <c r="K76" s="486">
        <v>18</v>
      </c>
    </row>
    <row r="77" spans="1:17" ht="18.75" customHeight="1" x14ac:dyDescent="0.25">
      <c r="C77" s="489" t="s">
        <v>454</v>
      </c>
      <c r="D77" s="616"/>
      <c r="E77" s="490">
        <f>SUM(E75:E76)</f>
        <v>10</v>
      </c>
      <c r="F77" s="491">
        <f>+E77/K77</f>
        <v>0.25</v>
      </c>
      <c r="G77" s="490">
        <f>SUM(G75:G76)</f>
        <v>7</v>
      </c>
      <c r="H77" s="491">
        <f>+G77/K77</f>
        <v>0.17499999999999999</v>
      </c>
      <c r="I77" s="490">
        <f>SUM(I75:I76)</f>
        <v>23</v>
      </c>
      <c r="J77" s="491">
        <f>+I77/K77</f>
        <v>0.57499999999999996</v>
      </c>
      <c r="K77" s="490">
        <f>+E77+G77+I77</f>
        <v>40</v>
      </c>
      <c r="M77" s="13" t="s">
        <v>583</v>
      </c>
      <c r="P77" s="13">
        <v>2020</v>
      </c>
      <c r="Q77" s="13">
        <v>2020</v>
      </c>
    </row>
    <row r="78" spans="1:17" x14ac:dyDescent="0.25">
      <c r="F78" s="13"/>
      <c r="G78" s="13"/>
      <c r="M78" s="13" t="str">
        <f>+D79</f>
        <v xml:space="preserve">  Metas con baja  Ejecución 0% a 25%</v>
      </c>
      <c r="P78" s="492">
        <f>+E81</f>
        <v>0.25</v>
      </c>
      <c r="Q78" s="492">
        <f>+E82</f>
        <v>0.19047619047619047</v>
      </c>
    </row>
    <row r="79" spans="1:17" ht="29.25" customHeight="1" x14ac:dyDescent="0.25">
      <c r="C79" s="617" t="s">
        <v>583</v>
      </c>
      <c r="D79" s="619" t="s">
        <v>597</v>
      </c>
      <c r="E79" s="620"/>
      <c r="F79" s="621" t="s">
        <v>589</v>
      </c>
      <c r="G79" s="621"/>
      <c r="H79" s="612" t="s">
        <v>591</v>
      </c>
      <c r="I79" s="612"/>
      <c r="J79" s="613" t="s">
        <v>585</v>
      </c>
      <c r="K79" s="614" t="s">
        <v>586</v>
      </c>
      <c r="M79" s="13" t="str">
        <f>+F79</f>
        <v>Metas con Ejecución media  26% a 70%</v>
      </c>
      <c r="P79" s="492">
        <f>+G81</f>
        <v>0.17499999999999999</v>
      </c>
      <c r="Q79" s="492">
        <f>+G82</f>
        <v>0.2857142857142857</v>
      </c>
    </row>
    <row r="80" spans="1:17" x14ac:dyDescent="0.25">
      <c r="C80" s="618"/>
      <c r="D80" s="472" t="s">
        <v>33</v>
      </c>
      <c r="E80" s="472" t="s">
        <v>587</v>
      </c>
      <c r="F80" s="473" t="s">
        <v>33</v>
      </c>
      <c r="G80" s="473" t="s">
        <v>587</v>
      </c>
      <c r="H80" s="474" t="s">
        <v>33</v>
      </c>
      <c r="I80" s="474" t="s">
        <v>587</v>
      </c>
      <c r="J80" s="613"/>
      <c r="K80" s="614"/>
      <c r="M80" s="13" t="str">
        <f>+H79</f>
        <v>Metas con Ejecución al corte 70% a 100%</v>
      </c>
      <c r="P80" s="492">
        <f>+I81</f>
        <v>0.57499999999999996</v>
      </c>
      <c r="Q80" s="492">
        <f>+I82</f>
        <v>0.52380952380952384</v>
      </c>
    </row>
    <row r="81" spans="3:11" ht="18.75" x14ac:dyDescent="0.3">
      <c r="C81" s="475" t="s">
        <v>595</v>
      </c>
      <c r="D81" s="373">
        <f>+E77</f>
        <v>10</v>
      </c>
      <c r="E81" s="370">
        <f>+F77</f>
        <v>0.25</v>
      </c>
      <c r="F81" s="373">
        <f>+G77</f>
        <v>7</v>
      </c>
      <c r="G81" s="370">
        <f>+H77</f>
        <v>0.17499999999999999</v>
      </c>
      <c r="H81" s="373">
        <f>+I77</f>
        <v>23</v>
      </c>
      <c r="I81" s="370">
        <f>+H81/J81</f>
        <v>0.57499999999999996</v>
      </c>
      <c r="J81" s="373">
        <f>+D81+F81+H81</f>
        <v>40</v>
      </c>
      <c r="K81" s="480">
        <f>+G81+I81</f>
        <v>0.75</v>
      </c>
    </row>
    <row r="82" spans="3:11" ht="18.75" x14ac:dyDescent="0.3">
      <c r="C82" s="475" t="s">
        <v>588</v>
      </c>
      <c r="D82" s="476">
        <v>8</v>
      </c>
      <c r="E82" s="477">
        <f>+D82/J82</f>
        <v>0.19047619047619047</v>
      </c>
      <c r="F82" s="476">
        <v>12</v>
      </c>
      <c r="G82" s="477">
        <f>+F82/J82</f>
        <v>0.2857142857142857</v>
      </c>
      <c r="H82" s="476">
        <v>22</v>
      </c>
      <c r="I82" s="478">
        <f>+H82/J82</f>
        <v>0.52380952380952384</v>
      </c>
      <c r="J82" s="479">
        <v>42</v>
      </c>
      <c r="K82" s="480">
        <f>+G82+I82</f>
        <v>0.80952380952380953</v>
      </c>
    </row>
    <row r="83" spans="3:11" x14ac:dyDescent="0.25">
      <c r="F83" s="13"/>
      <c r="G83" s="13"/>
    </row>
    <row r="206" spans="2:13" s="354" customFormat="1" x14ac:dyDescent="0.25">
      <c r="B206" s="354" t="s">
        <v>569</v>
      </c>
      <c r="C206" s="421">
        <v>1535237087.96</v>
      </c>
      <c r="H206" s="13"/>
      <c r="I206" s="13"/>
      <c r="J206" s="13"/>
      <c r="K206" s="13"/>
      <c r="L206" s="13"/>
      <c r="M206" s="13"/>
    </row>
    <row r="207" spans="2:13" s="354" customFormat="1" x14ac:dyDescent="0.25">
      <c r="B207" s="354" t="s">
        <v>570</v>
      </c>
      <c r="C207" s="421">
        <v>1503501865.97</v>
      </c>
      <c r="H207" s="13"/>
      <c r="I207" s="13"/>
      <c r="J207" s="13"/>
      <c r="K207" s="13"/>
      <c r="L207" s="13"/>
      <c r="M207" s="13"/>
    </row>
    <row r="208" spans="2:13" s="354" customFormat="1" x14ac:dyDescent="0.25">
      <c r="B208" s="354" t="s">
        <v>571</v>
      </c>
      <c r="C208" s="421">
        <v>500000000</v>
      </c>
      <c r="H208" s="13"/>
      <c r="I208" s="13"/>
      <c r="J208" s="13"/>
      <c r="K208" s="13"/>
      <c r="L208" s="13"/>
      <c r="M208" s="13"/>
    </row>
    <row r="209" spans="3:13" s="354" customFormat="1" x14ac:dyDescent="0.25">
      <c r="C209" s="421"/>
      <c r="H209" s="13"/>
      <c r="I209" s="13"/>
      <c r="J209" s="13"/>
      <c r="K209" s="13"/>
      <c r="L209" s="13"/>
      <c r="M209" s="13"/>
    </row>
    <row r="210" spans="3:13" s="354" customFormat="1" x14ac:dyDescent="0.25">
      <c r="C210" s="421"/>
      <c r="H210" s="13"/>
      <c r="I210" s="13"/>
      <c r="J210" s="13"/>
      <c r="K210" s="13"/>
      <c r="L210" s="13"/>
      <c r="M210" s="13"/>
    </row>
    <row r="211" spans="3:13" s="354" customFormat="1" x14ac:dyDescent="0.25">
      <c r="C211" s="422">
        <f>SUM(C206:C210)</f>
        <v>3538738953.9300003</v>
      </c>
      <c r="H211" s="13"/>
      <c r="I211" s="13"/>
      <c r="J211" s="13"/>
      <c r="K211" s="13"/>
      <c r="L211" s="13"/>
      <c r="M211" s="13"/>
    </row>
    <row r="212" spans="3:13" s="354" customFormat="1" x14ac:dyDescent="0.25">
      <c r="H212" s="13"/>
      <c r="I212" s="13"/>
      <c r="J212" s="13"/>
      <c r="K212" s="13"/>
      <c r="L212" s="13"/>
      <c r="M212" s="13"/>
    </row>
    <row r="213" spans="3:13" s="354" customFormat="1" x14ac:dyDescent="0.25">
      <c r="H213" s="13"/>
      <c r="I213" s="13"/>
      <c r="J213" s="13"/>
      <c r="K213" s="13"/>
      <c r="L213" s="13"/>
      <c r="M213" s="13"/>
    </row>
    <row r="214" spans="3:13" s="354" customFormat="1" x14ac:dyDescent="0.25">
      <c r="H214" s="13"/>
      <c r="I214" s="13"/>
      <c r="J214" s="13"/>
      <c r="K214" s="13"/>
      <c r="L214" s="13"/>
      <c r="M214" s="13"/>
    </row>
    <row r="215" spans="3:13" s="354" customFormat="1" x14ac:dyDescent="0.25">
      <c r="H215" s="13"/>
      <c r="I215" s="13"/>
      <c r="J215" s="13"/>
      <c r="K215" s="13"/>
      <c r="L215" s="13"/>
      <c r="M215" s="13"/>
    </row>
  </sheetData>
  <mergeCells count="32">
    <mergeCell ref="H79:I79"/>
    <mergeCell ref="J79:J80"/>
    <mergeCell ref="K79:K80"/>
    <mergeCell ref="C68:I68"/>
    <mergeCell ref="C69:I69"/>
    <mergeCell ref="C70:I70"/>
    <mergeCell ref="C71:I71"/>
    <mergeCell ref="D75:D77"/>
    <mergeCell ref="C79:C80"/>
    <mergeCell ref="D79:E79"/>
    <mergeCell ref="F79:G79"/>
    <mergeCell ref="A51:B51"/>
    <mergeCell ref="A7:B7"/>
    <mergeCell ref="A18:E18"/>
    <mergeCell ref="A19:E19"/>
    <mergeCell ref="A20:E20"/>
    <mergeCell ref="A21:E21"/>
    <mergeCell ref="A34:B34"/>
    <mergeCell ref="A36:E36"/>
    <mergeCell ref="A37:E37"/>
    <mergeCell ref="A38:E38"/>
    <mergeCell ref="A39:E39"/>
    <mergeCell ref="A42:B42"/>
    <mergeCell ref="B66:C66"/>
    <mergeCell ref="D66:E66"/>
    <mergeCell ref="A54:B54"/>
    <mergeCell ref="A55:B55"/>
    <mergeCell ref="A56:B56"/>
    <mergeCell ref="A57:B57"/>
    <mergeCell ref="D58:E58"/>
    <mergeCell ref="B65:C65"/>
    <mergeCell ref="D65:E6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84874-0347-4190-AB51-33D1B7B6A961}">
  <sheetPr>
    <pageSetUpPr fitToPage="1"/>
  </sheetPr>
  <dimension ref="A1:C181"/>
  <sheetViews>
    <sheetView showGridLines="0" view="pageBreakPreview" topLeftCell="A4" zoomScale="75" zoomScaleNormal="100" zoomScaleSheetLayoutView="75" workbookViewId="0">
      <selection activeCell="C11" sqref="C11"/>
    </sheetView>
  </sheetViews>
  <sheetFormatPr baseColWidth="10" defaultColWidth="11.5703125" defaultRowHeight="15" x14ac:dyDescent="0.25"/>
  <cols>
    <col min="1" max="1" width="41.7109375" style="13" customWidth="1"/>
    <col min="2" max="2" width="12.28515625" style="13" customWidth="1"/>
    <col min="3" max="3" width="65.7109375" style="13" customWidth="1"/>
    <col min="4" max="16384" width="11.5703125" style="13"/>
  </cols>
  <sheetData>
    <row r="1" spans="1:3" ht="59.45" customHeight="1" thickBot="1" x14ac:dyDescent="0.3">
      <c r="A1" s="622" t="s">
        <v>322</v>
      </c>
      <c r="B1" s="623"/>
      <c r="C1" s="623"/>
    </row>
    <row r="2" spans="1:3" ht="27" customHeight="1" thickBot="1" x14ac:dyDescent="0.3">
      <c r="A2" s="74" t="s">
        <v>323</v>
      </c>
      <c r="B2" s="39" t="s">
        <v>324</v>
      </c>
      <c r="C2" s="40"/>
    </row>
    <row r="3" spans="1:3" ht="32.25" thickBot="1" x14ac:dyDescent="0.3">
      <c r="A3" s="75" t="s">
        <v>325</v>
      </c>
      <c r="B3" s="624" t="s">
        <v>326</v>
      </c>
      <c r="C3" s="625"/>
    </row>
    <row r="4" spans="1:3" ht="16.5" thickBot="1" x14ac:dyDescent="0.3">
      <c r="A4" s="74" t="s">
        <v>327</v>
      </c>
      <c r="B4" s="39" t="s">
        <v>328</v>
      </c>
      <c r="C4" s="40"/>
    </row>
    <row r="5" spans="1:3" ht="16.5" thickBot="1" x14ac:dyDescent="0.3">
      <c r="A5" s="74" t="s">
        <v>329</v>
      </c>
      <c r="B5" s="39" t="s">
        <v>330</v>
      </c>
      <c r="C5" s="41"/>
    </row>
    <row r="6" spans="1:3" ht="19.149999999999999" customHeight="1" x14ac:dyDescent="0.25">
      <c r="A6" s="632" t="s">
        <v>331</v>
      </c>
      <c r="B6" s="633"/>
      <c r="C6" s="633"/>
    </row>
    <row r="7" spans="1:3" ht="15" customHeight="1" thickBot="1" x14ac:dyDescent="0.3">
      <c r="A7" s="634" t="s">
        <v>332</v>
      </c>
      <c r="B7" s="635"/>
      <c r="C7" s="635"/>
    </row>
    <row r="8" spans="1:3" ht="15" customHeight="1" thickBot="1" x14ac:dyDescent="0.3">
      <c r="A8" s="630" t="s">
        <v>333</v>
      </c>
      <c r="B8" s="631"/>
      <c r="C8" s="342" t="s">
        <v>334</v>
      </c>
    </row>
    <row r="9" spans="1:3" ht="37.15" customHeight="1" thickBot="1" x14ac:dyDescent="0.3">
      <c r="A9" s="626" t="s">
        <v>335</v>
      </c>
      <c r="B9" s="627"/>
      <c r="C9" s="42" t="s">
        <v>243</v>
      </c>
    </row>
    <row r="10" spans="1:3" ht="37.15" customHeight="1" thickBot="1" x14ac:dyDescent="0.3">
      <c r="A10" s="626" t="s">
        <v>336</v>
      </c>
      <c r="B10" s="627"/>
      <c r="C10" s="42" t="s">
        <v>337</v>
      </c>
    </row>
    <row r="11" spans="1:3" ht="33" customHeight="1" thickBot="1" x14ac:dyDescent="0.3">
      <c r="A11" s="626" t="s">
        <v>338</v>
      </c>
      <c r="B11" s="627"/>
      <c r="C11" s="42" t="s">
        <v>339</v>
      </c>
    </row>
    <row r="12" spans="1:3" ht="36" customHeight="1" thickBot="1" x14ac:dyDescent="0.3">
      <c r="A12" s="626" t="s">
        <v>340</v>
      </c>
      <c r="B12" s="627"/>
      <c r="C12" s="42" t="s">
        <v>341</v>
      </c>
    </row>
    <row r="13" spans="1:3" ht="27" customHeight="1" thickBot="1" x14ac:dyDescent="0.3">
      <c r="A13" s="626" t="s">
        <v>342</v>
      </c>
      <c r="B13" s="627"/>
      <c r="C13" s="42" t="s">
        <v>343</v>
      </c>
    </row>
    <row r="14" spans="1:3" ht="43.9" customHeight="1" thickBot="1" x14ac:dyDescent="0.3">
      <c r="A14" s="626" t="s">
        <v>344</v>
      </c>
      <c r="B14" s="627"/>
      <c r="C14" s="42" t="s">
        <v>345</v>
      </c>
    </row>
    <row r="15" spans="1:3" ht="22.15" customHeight="1" thickBot="1" x14ac:dyDescent="0.3">
      <c r="A15" s="628" t="s">
        <v>346</v>
      </c>
      <c r="B15" s="341" t="s">
        <v>347</v>
      </c>
      <c r="C15" s="42"/>
    </row>
    <row r="16" spans="1:3" ht="29.45" customHeight="1" thickBot="1" x14ac:dyDescent="0.3">
      <c r="A16" s="629"/>
      <c r="B16" s="341" t="s">
        <v>348</v>
      </c>
      <c r="C16" s="42" t="s">
        <v>349</v>
      </c>
    </row>
    <row r="17" spans="1:3" ht="29.45" customHeight="1" thickBot="1" x14ac:dyDescent="0.3">
      <c r="A17" s="626" t="s">
        <v>350</v>
      </c>
      <c r="B17" s="627"/>
      <c r="C17" s="42" t="s">
        <v>351</v>
      </c>
    </row>
    <row r="18" spans="1:3" ht="37.15" customHeight="1" thickBot="1" x14ac:dyDescent="0.3">
      <c r="A18" s="626" t="s">
        <v>352</v>
      </c>
      <c r="B18" s="627"/>
      <c r="C18" s="42" t="s">
        <v>353</v>
      </c>
    </row>
    <row r="19" spans="1:3" ht="21" customHeight="1" thickBot="1" x14ac:dyDescent="0.3">
      <c r="A19" s="626" t="s">
        <v>354</v>
      </c>
      <c r="B19" s="627"/>
      <c r="C19" s="42" t="s">
        <v>355</v>
      </c>
    </row>
    <row r="20" spans="1:3" ht="39" customHeight="1" thickBot="1" x14ac:dyDescent="0.3">
      <c r="A20" s="626" t="s">
        <v>356</v>
      </c>
      <c r="B20" s="627"/>
      <c r="C20" s="43" t="s">
        <v>357</v>
      </c>
    </row>
    <row r="21" spans="1:3" ht="13.15" customHeight="1" x14ac:dyDescent="0.25">
      <c r="A21" s="636" t="s">
        <v>358</v>
      </c>
      <c r="B21" s="637"/>
      <c r="C21" s="44" t="s">
        <v>359</v>
      </c>
    </row>
    <row r="22" spans="1:3" ht="15" customHeight="1" x14ac:dyDescent="0.25">
      <c r="A22" s="638"/>
      <c r="B22" s="639"/>
      <c r="C22" s="44" t="s">
        <v>360</v>
      </c>
    </row>
    <row r="23" spans="1:3" ht="16.149999999999999" customHeight="1" thickBot="1" x14ac:dyDescent="0.3">
      <c r="A23" s="640"/>
      <c r="B23" s="641"/>
      <c r="C23" s="42" t="s">
        <v>361</v>
      </c>
    </row>
    <row r="24" spans="1:3" ht="42" customHeight="1" thickBot="1" x14ac:dyDescent="0.3">
      <c r="A24" s="626" t="s">
        <v>362</v>
      </c>
      <c r="B24" s="627"/>
      <c r="C24" s="42" t="s">
        <v>363</v>
      </c>
    </row>
    <row r="25" spans="1:3" ht="60.75" thickBot="1" x14ac:dyDescent="0.3">
      <c r="A25" s="626" t="s">
        <v>364</v>
      </c>
      <c r="B25" s="627"/>
      <c r="C25" s="42" t="s">
        <v>365</v>
      </c>
    </row>
    <row r="26" spans="1:3" ht="51" customHeight="1" thickBot="1" x14ac:dyDescent="0.3">
      <c r="A26" s="622" t="s">
        <v>322</v>
      </c>
      <c r="B26" s="623"/>
      <c r="C26" s="623"/>
    </row>
    <row r="27" spans="1:3" ht="16.5" thickBot="1" x14ac:dyDescent="0.3">
      <c r="A27" s="74" t="s">
        <v>323</v>
      </c>
      <c r="B27" s="39" t="s">
        <v>324</v>
      </c>
      <c r="C27" s="40"/>
    </row>
    <row r="28" spans="1:3" ht="32.25" thickBot="1" x14ac:dyDescent="0.3">
      <c r="A28" s="75" t="s">
        <v>325</v>
      </c>
      <c r="B28" s="624" t="s">
        <v>326</v>
      </c>
      <c r="C28" s="625"/>
    </row>
    <row r="29" spans="1:3" ht="16.5" thickBot="1" x14ac:dyDescent="0.3">
      <c r="A29" s="74" t="s">
        <v>327</v>
      </c>
      <c r="B29" s="39" t="s">
        <v>328</v>
      </c>
      <c r="C29" s="40"/>
    </row>
    <row r="30" spans="1:3" ht="16.5" thickBot="1" x14ac:dyDescent="0.3">
      <c r="A30" s="74" t="s">
        <v>329</v>
      </c>
      <c r="B30" s="39" t="s">
        <v>330</v>
      </c>
      <c r="C30" s="41"/>
    </row>
    <row r="31" spans="1:3" ht="5.45" customHeight="1" x14ac:dyDescent="0.25">
      <c r="A31" s="76"/>
      <c r="B31" s="467"/>
      <c r="C31" s="467"/>
    </row>
    <row r="32" spans="1:3" x14ac:dyDescent="0.25">
      <c r="A32" s="632" t="s">
        <v>366</v>
      </c>
      <c r="B32" s="633"/>
      <c r="C32" s="633"/>
    </row>
    <row r="33" spans="1:3" ht="18.600000000000001" customHeight="1" thickBot="1" x14ac:dyDescent="0.3">
      <c r="A33" s="634" t="s">
        <v>332</v>
      </c>
      <c r="B33" s="635"/>
      <c r="C33" s="635"/>
    </row>
    <row r="34" spans="1:3" ht="15.75" thickBot="1" x14ac:dyDescent="0.3">
      <c r="A34" s="630" t="s">
        <v>333</v>
      </c>
      <c r="B34" s="631"/>
      <c r="C34" s="73" t="s">
        <v>334</v>
      </c>
    </row>
    <row r="35" spans="1:3" ht="24.75" thickBot="1" x14ac:dyDescent="0.3">
      <c r="A35" s="626" t="s">
        <v>367</v>
      </c>
      <c r="B35" s="627"/>
      <c r="C35" s="42" t="s">
        <v>368</v>
      </c>
    </row>
    <row r="36" spans="1:3" ht="24" customHeight="1" thickBot="1" x14ac:dyDescent="0.3">
      <c r="A36" s="626" t="s">
        <v>336</v>
      </c>
      <c r="B36" s="627"/>
      <c r="C36" s="42" t="s">
        <v>369</v>
      </c>
    </row>
    <row r="37" spans="1:3" ht="36.75" thickBot="1" x14ac:dyDescent="0.3">
      <c r="A37" s="626" t="s">
        <v>338</v>
      </c>
      <c r="B37" s="627"/>
      <c r="C37" s="42" t="s">
        <v>370</v>
      </c>
    </row>
    <row r="38" spans="1:3" ht="24" customHeight="1" thickBot="1" x14ac:dyDescent="0.3">
      <c r="A38" s="626" t="s">
        <v>340</v>
      </c>
      <c r="B38" s="627"/>
      <c r="C38" s="42" t="s">
        <v>371</v>
      </c>
    </row>
    <row r="39" spans="1:3" ht="15.75" thickBot="1" x14ac:dyDescent="0.3">
      <c r="A39" s="626" t="s">
        <v>342</v>
      </c>
      <c r="B39" s="627"/>
      <c r="C39" s="42" t="s">
        <v>372</v>
      </c>
    </row>
    <row r="40" spans="1:3" ht="36.75" thickBot="1" x14ac:dyDescent="0.3">
      <c r="A40" s="626" t="s">
        <v>344</v>
      </c>
      <c r="B40" s="627"/>
      <c r="C40" s="42" t="s">
        <v>373</v>
      </c>
    </row>
    <row r="41" spans="1:3" ht="15.75" thickBot="1" x14ac:dyDescent="0.3">
      <c r="A41" s="628" t="s">
        <v>346</v>
      </c>
      <c r="B41" s="341" t="s">
        <v>347</v>
      </c>
      <c r="C41" s="42" t="s">
        <v>374</v>
      </c>
    </row>
    <row r="42" spans="1:3" ht="15.75" thickBot="1" x14ac:dyDescent="0.3">
      <c r="A42" s="629"/>
      <c r="B42" s="341" t="s">
        <v>348</v>
      </c>
      <c r="C42" s="42"/>
    </row>
    <row r="43" spans="1:3" ht="15.75" thickBot="1" x14ac:dyDescent="0.3">
      <c r="A43" s="626" t="s">
        <v>350</v>
      </c>
      <c r="B43" s="627"/>
      <c r="C43" s="42">
        <v>2019</v>
      </c>
    </row>
    <row r="44" spans="1:3" ht="24.75" thickBot="1" x14ac:dyDescent="0.3">
      <c r="A44" s="626" t="s">
        <v>352</v>
      </c>
      <c r="B44" s="627"/>
      <c r="C44" s="42" t="s">
        <v>375</v>
      </c>
    </row>
    <row r="45" spans="1:3" ht="15.75" thickBot="1" x14ac:dyDescent="0.3">
      <c r="A45" s="626" t="s">
        <v>354</v>
      </c>
      <c r="B45" s="627"/>
      <c r="C45" s="42" t="s">
        <v>355</v>
      </c>
    </row>
    <row r="46" spans="1:3" ht="27" customHeight="1" thickBot="1" x14ac:dyDescent="0.3">
      <c r="A46" s="626" t="s">
        <v>356</v>
      </c>
      <c r="B46" s="627"/>
      <c r="C46" s="43" t="s">
        <v>376</v>
      </c>
    </row>
    <row r="47" spans="1:3" x14ac:dyDescent="0.25">
      <c r="A47" s="636" t="s">
        <v>358</v>
      </c>
      <c r="B47" s="637"/>
      <c r="C47" s="44" t="s">
        <v>377</v>
      </c>
    </row>
    <row r="48" spans="1:3" x14ac:dyDescent="0.25">
      <c r="A48" s="638"/>
      <c r="B48" s="639"/>
      <c r="C48" s="44" t="s">
        <v>378</v>
      </c>
    </row>
    <row r="49" spans="1:3" ht="15.75" thickBot="1" x14ac:dyDescent="0.3">
      <c r="A49" s="640"/>
      <c r="B49" s="641"/>
      <c r="C49" s="42" t="s">
        <v>379</v>
      </c>
    </row>
    <row r="50" spans="1:3" ht="29.45" customHeight="1" thickBot="1" x14ac:dyDescent="0.3">
      <c r="A50" s="626" t="s">
        <v>362</v>
      </c>
      <c r="B50" s="627"/>
      <c r="C50" s="42" t="s">
        <v>380</v>
      </c>
    </row>
    <row r="51" spans="1:3" ht="36.75" thickBot="1" x14ac:dyDescent="0.3">
      <c r="A51" s="626" t="s">
        <v>364</v>
      </c>
      <c r="B51" s="627"/>
      <c r="C51" s="42" t="s">
        <v>381</v>
      </c>
    </row>
    <row r="52" spans="1:3" ht="63.6" customHeight="1" thickBot="1" x14ac:dyDescent="0.3">
      <c r="A52" s="622" t="s">
        <v>322</v>
      </c>
      <c r="B52" s="623"/>
      <c r="C52" s="623"/>
    </row>
    <row r="53" spans="1:3" ht="16.5" thickBot="1" x14ac:dyDescent="0.3">
      <c r="A53" s="74" t="s">
        <v>323</v>
      </c>
      <c r="B53" s="39" t="s">
        <v>324</v>
      </c>
      <c r="C53" s="40"/>
    </row>
    <row r="54" spans="1:3" ht="32.25" thickBot="1" x14ac:dyDescent="0.3">
      <c r="A54" s="75" t="s">
        <v>325</v>
      </c>
      <c r="B54" s="624" t="s">
        <v>326</v>
      </c>
      <c r="C54" s="625"/>
    </row>
    <row r="55" spans="1:3" ht="16.5" thickBot="1" x14ac:dyDescent="0.3">
      <c r="A55" s="74" t="s">
        <v>327</v>
      </c>
      <c r="B55" s="39" t="s">
        <v>328</v>
      </c>
      <c r="C55" s="40"/>
    </row>
    <row r="56" spans="1:3" ht="16.5" thickBot="1" x14ac:dyDescent="0.3">
      <c r="A56" s="74" t="s">
        <v>329</v>
      </c>
      <c r="B56" s="39" t="s">
        <v>330</v>
      </c>
      <c r="C56" s="41"/>
    </row>
    <row r="57" spans="1:3" x14ac:dyDescent="0.25">
      <c r="A57" s="78"/>
      <c r="B57" s="468"/>
      <c r="C57" s="468"/>
    </row>
    <row r="58" spans="1:3" x14ac:dyDescent="0.25">
      <c r="A58" s="632" t="s">
        <v>382</v>
      </c>
      <c r="B58" s="633"/>
      <c r="C58" s="633"/>
    </row>
    <row r="59" spans="1:3" ht="15.75" thickBot="1" x14ac:dyDescent="0.3">
      <c r="A59" s="634" t="s">
        <v>332</v>
      </c>
      <c r="B59" s="635"/>
      <c r="C59" s="635"/>
    </row>
    <row r="60" spans="1:3" ht="15.75" thickBot="1" x14ac:dyDescent="0.3">
      <c r="A60" s="630" t="s">
        <v>333</v>
      </c>
      <c r="B60" s="631"/>
      <c r="C60" s="73" t="s">
        <v>334</v>
      </c>
    </row>
    <row r="61" spans="1:3" ht="24.75" thickBot="1" x14ac:dyDescent="0.3">
      <c r="A61" s="626" t="s">
        <v>335</v>
      </c>
      <c r="B61" s="627"/>
      <c r="C61" s="42" t="s">
        <v>383</v>
      </c>
    </row>
    <row r="62" spans="1:3" ht="27" customHeight="1" thickBot="1" x14ac:dyDescent="0.3">
      <c r="A62" s="626" t="s">
        <v>336</v>
      </c>
      <c r="B62" s="627"/>
      <c r="C62" s="42" t="s">
        <v>384</v>
      </c>
    </row>
    <row r="63" spans="1:3" ht="24.75" thickBot="1" x14ac:dyDescent="0.3">
      <c r="A63" s="626" t="s">
        <v>338</v>
      </c>
      <c r="B63" s="627"/>
      <c r="C63" s="42" t="s">
        <v>385</v>
      </c>
    </row>
    <row r="64" spans="1:3" ht="15.75" thickBot="1" x14ac:dyDescent="0.3">
      <c r="A64" s="626" t="s">
        <v>340</v>
      </c>
      <c r="B64" s="627"/>
      <c r="C64" s="42" t="s">
        <v>386</v>
      </c>
    </row>
    <row r="65" spans="1:3" ht="15.75" thickBot="1" x14ac:dyDescent="0.3">
      <c r="A65" s="626" t="s">
        <v>342</v>
      </c>
      <c r="B65" s="627"/>
      <c r="C65" s="42" t="s">
        <v>387</v>
      </c>
    </row>
    <row r="66" spans="1:3" ht="24.75" thickBot="1" x14ac:dyDescent="0.3">
      <c r="A66" s="626" t="s">
        <v>344</v>
      </c>
      <c r="B66" s="627"/>
      <c r="C66" s="42" t="s">
        <v>388</v>
      </c>
    </row>
    <row r="67" spans="1:3" ht="15.75" thickBot="1" x14ac:dyDescent="0.3">
      <c r="A67" s="628" t="s">
        <v>346</v>
      </c>
      <c r="B67" s="341" t="s">
        <v>347</v>
      </c>
      <c r="C67" s="42"/>
    </row>
    <row r="68" spans="1:3" ht="36.75" thickBot="1" x14ac:dyDescent="0.3">
      <c r="A68" s="629"/>
      <c r="B68" s="341" t="s">
        <v>348</v>
      </c>
      <c r="C68" s="42" t="s">
        <v>389</v>
      </c>
    </row>
    <row r="69" spans="1:3" ht="15.75" thickBot="1" x14ac:dyDescent="0.3">
      <c r="A69" s="626" t="s">
        <v>350</v>
      </c>
      <c r="B69" s="627"/>
      <c r="C69" s="42">
        <v>0</v>
      </c>
    </row>
    <row r="70" spans="1:3" ht="15.75" thickBot="1" x14ac:dyDescent="0.3">
      <c r="A70" s="626" t="s">
        <v>352</v>
      </c>
      <c r="B70" s="627"/>
      <c r="C70" s="42" t="s">
        <v>390</v>
      </c>
    </row>
    <row r="71" spans="1:3" ht="15.75" thickBot="1" x14ac:dyDescent="0.3">
      <c r="A71" s="626" t="s">
        <v>354</v>
      </c>
      <c r="B71" s="627"/>
      <c r="C71" s="42" t="s">
        <v>355</v>
      </c>
    </row>
    <row r="72" spans="1:3" ht="24.75" thickBot="1" x14ac:dyDescent="0.3">
      <c r="A72" s="626" t="s">
        <v>356</v>
      </c>
      <c r="B72" s="627"/>
      <c r="C72" s="43" t="s">
        <v>391</v>
      </c>
    </row>
    <row r="73" spans="1:3" x14ac:dyDescent="0.25">
      <c r="A73" s="636" t="s">
        <v>358</v>
      </c>
      <c r="B73" s="637"/>
      <c r="C73" s="44" t="s">
        <v>392</v>
      </c>
    </row>
    <row r="74" spans="1:3" x14ac:dyDescent="0.25">
      <c r="A74" s="638"/>
      <c r="B74" s="639"/>
      <c r="C74" s="44" t="s">
        <v>360</v>
      </c>
    </row>
    <row r="75" spans="1:3" ht="15.75" thickBot="1" x14ac:dyDescent="0.3">
      <c r="A75" s="640"/>
      <c r="B75" s="641"/>
      <c r="C75" s="42" t="s">
        <v>379</v>
      </c>
    </row>
    <row r="76" spans="1:3" ht="63" customHeight="1" thickBot="1" x14ac:dyDescent="0.3">
      <c r="A76" s="626" t="s">
        <v>362</v>
      </c>
      <c r="B76" s="627"/>
      <c r="C76" s="42" t="s">
        <v>393</v>
      </c>
    </row>
    <row r="77" spans="1:3" ht="36.75" thickBot="1" x14ac:dyDescent="0.3">
      <c r="A77" s="626" t="s">
        <v>364</v>
      </c>
      <c r="B77" s="627"/>
      <c r="C77" s="42" t="s">
        <v>394</v>
      </c>
    </row>
    <row r="78" spans="1:3" ht="63.6" customHeight="1" thickBot="1" x14ac:dyDescent="0.3">
      <c r="A78" s="622" t="s">
        <v>322</v>
      </c>
      <c r="B78" s="623"/>
      <c r="C78" s="623"/>
    </row>
    <row r="79" spans="1:3" ht="16.5" thickBot="1" x14ac:dyDescent="0.3">
      <c r="A79" s="74" t="s">
        <v>323</v>
      </c>
      <c r="B79" s="39" t="s">
        <v>324</v>
      </c>
      <c r="C79" s="40"/>
    </row>
    <row r="80" spans="1:3" ht="32.25" thickBot="1" x14ac:dyDescent="0.3">
      <c r="A80" s="75" t="s">
        <v>325</v>
      </c>
      <c r="B80" s="624" t="s">
        <v>326</v>
      </c>
      <c r="C80" s="625"/>
    </row>
    <row r="81" spans="1:3" ht="16.5" thickBot="1" x14ac:dyDescent="0.3">
      <c r="A81" s="74" t="s">
        <v>327</v>
      </c>
      <c r="B81" s="39" t="s">
        <v>328</v>
      </c>
      <c r="C81" s="40"/>
    </row>
    <row r="82" spans="1:3" ht="16.5" thickBot="1" x14ac:dyDescent="0.3">
      <c r="A82" s="74" t="s">
        <v>329</v>
      </c>
      <c r="B82" s="39" t="s">
        <v>330</v>
      </c>
      <c r="C82" s="41"/>
    </row>
    <row r="83" spans="1:3" x14ac:dyDescent="0.25">
      <c r="A83" s="76"/>
      <c r="B83" s="467"/>
      <c r="C83" s="467"/>
    </row>
    <row r="84" spans="1:3" x14ac:dyDescent="0.25">
      <c r="A84" s="632" t="s">
        <v>395</v>
      </c>
      <c r="B84" s="633"/>
      <c r="C84" s="633"/>
    </row>
    <row r="85" spans="1:3" ht="15.75" thickBot="1" x14ac:dyDescent="0.3">
      <c r="A85" s="634" t="s">
        <v>332</v>
      </c>
      <c r="B85" s="635"/>
      <c r="C85" s="635"/>
    </row>
    <row r="86" spans="1:3" ht="15.75" thickBot="1" x14ac:dyDescent="0.3">
      <c r="A86" s="630" t="s">
        <v>333</v>
      </c>
      <c r="B86" s="631"/>
      <c r="C86" s="73" t="s">
        <v>334</v>
      </c>
    </row>
    <row r="87" spans="1:3" ht="24.75" thickBot="1" x14ac:dyDescent="0.3">
      <c r="A87" s="626" t="s">
        <v>335</v>
      </c>
      <c r="B87" s="627"/>
      <c r="C87" s="42" t="s">
        <v>396</v>
      </c>
    </row>
    <row r="88" spans="1:3" ht="24.75" thickBot="1" x14ac:dyDescent="0.3">
      <c r="A88" s="626" t="s">
        <v>336</v>
      </c>
      <c r="B88" s="627"/>
      <c r="C88" s="42" t="s">
        <v>396</v>
      </c>
    </row>
    <row r="89" spans="1:3" ht="24.75" thickBot="1" x14ac:dyDescent="0.3">
      <c r="A89" s="626" t="s">
        <v>338</v>
      </c>
      <c r="B89" s="627"/>
      <c r="C89" s="42" t="s">
        <v>397</v>
      </c>
    </row>
    <row r="90" spans="1:3" ht="24.75" thickBot="1" x14ac:dyDescent="0.3">
      <c r="A90" s="626" t="s">
        <v>340</v>
      </c>
      <c r="B90" s="627"/>
      <c r="C90" s="42" t="s">
        <v>398</v>
      </c>
    </row>
    <row r="91" spans="1:3" ht="15.75" thickBot="1" x14ac:dyDescent="0.3">
      <c r="A91" s="626" t="s">
        <v>342</v>
      </c>
      <c r="B91" s="627"/>
      <c r="C91" s="42" t="s">
        <v>387</v>
      </c>
    </row>
    <row r="92" spans="1:3" ht="24.75" thickBot="1" x14ac:dyDescent="0.3">
      <c r="A92" s="626" t="s">
        <v>344</v>
      </c>
      <c r="B92" s="627"/>
      <c r="C92" s="42" t="s">
        <v>399</v>
      </c>
    </row>
    <row r="93" spans="1:3" ht="15.75" thickBot="1" x14ac:dyDescent="0.3">
      <c r="A93" s="628" t="s">
        <v>346</v>
      </c>
      <c r="B93" s="341" t="s">
        <v>347</v>
      </c>
      <c r="C93" s="42"/>
    </row>
    <row r="94" spans="1:3" ht="24.75" thickBot="1" x14ac:dyDescent="0.3">
      <c r="A94" s="629"/>
      <c r="B94" s="341" t="s">
        <v>348</v>
      </c>
      <c r="C94" s="42" t="s">
        <v>400</v>
      </c>
    </row>
    <row r="95" spans="1:3" ht="15.75" thickBot="1" x14ac:dyDescent="0.3">
      <c r="A95" s="626" t="s">
        <v>350</v>
      </c>
      <c r="B95" s="627"/>
      <c r="C95" s="42">
        <v>0</v>
      </c>
    </row>
    <row r="96" spans="1:3" ht="24.75" thickBot="1" x14ac:dyDescent="0.3">
      <c r="A96" s="626" t="s">
        <v>352</v>
      </c>
      <c r="B96" s="627"/>
      <c r="C96" s="42" t="s">
        <v>401</v>
      </c>
    </row>
    <row r="97" spans="1:3" ht="15.75" thickBot="1" x14ac:dyDescent="0.3">
      <c r="A97" s="626" t="s">
        <v>354</v>
      </c>
      <c r="B97" s="627"/>
      <c r="C97" s="42" t="s">
        <v>355</v>
      </c>
    </row>
    <row r="98" spans="1:3" ht="36.75" thickBot="1" x14ac:dyDescent="0.3">
      <c r="A98" s="626" t="s">
        <v>356</v>
      </c>
      <c r="B98" s="627"/>
      <c r="C98" s="43" t="s">
        <v>402</v>
      </c>
    </row>
    <row r="99" spans="1:3" x14ac:dyDescent="0.25">
      <c r="A99" s="636" t="s">
        <v>358</v>
      </c>
      <c r="B99" s="637"/>
      <c r="C99" s="44" t="s">
        <v>377</v>
      </c>
    </row>
    <row r="100" spans="1:3" x14ac:dyDescent="0.25">
      <c r="A100" s="638"/>
      <c r="B100" s="639"/>
      <c r="C100" s="44" t="s">
        <v>360</v>
      </c>
    </row>
    <row r="101" spans="1:3" ht="15.75" thickBot="1" x14ac:dyDescent="0.3">
      <c r="A101" s="640"/>
      <c r="B101" s="641"/>
      <c r="C101" s="42" t="s">
        <v>361</v>
      </c>
    </row>
    <row r="102" spans="1:3" ht="68.45" customHeight="1" thickBot="1" x14ac:dyDescent="0.3">
      <c r="A102" s="626" t="s">
        <v>362</v>
      </c>
      <c r="B102" s="627"/>
      <c r="C102" s="42" t="s">
        <v>403</v>
      </c>
    </row>
    <row r="103" spans="1:3" ht="36.75" thickBot="1" x14ac:dyDescent="0.3">
      <c r="A103" s="626" t="s">
        <v>364</v>
      </c>
      <c r="B103" s="627"/>
      <c r="C103" s="42" t="s">
        <v>394</v>
      </c>
    </row>
    <row r="104" spans="1:3" ht="66.599999999999994" customHeight="1" thickBot="1" x14ac:dyDescent="0.3">
      <c r="A104" s="622" t="s">
        <v>322</v>
      </c>
      <c r="B104" s="623"/>
      <c r="C104" s="623"/>
    </row>
    <row r="105" spans="1:3" ht="16.5" thickBot="1" x14ac:dyDescent="0.3">
      <c r="A105" s="74" t="s">
        <v>323</v>
      </c>
      <c r="B105" s="39" t="s">
        <v>324</v>
      </c>
      <c r="C105" s="40"/>
    </row>
    <row r="106" spans="1:3" ht="32.25" thickBot="1" x14ac:dyDescent="0.3">
      <c r="A106" s="75" t="s">
        <v>325</v>
      </c>
      <c r="B106" s="624" t="s">
        <v>326</v>
      </c>
      <c r="C106" s="625"/>
    </row>
    <row r="107" spans="1:3" ht="16.5" thickBot="1" x14ac:dyDescent="0.3">
      <c r="A107" s="74" t="s">
        <v>327</v>
      </c>
      <c r="B107" s="39" t="s">
        <v>328</v>
      </c>
      <c r="C107" s="40"/>
    </row>
    <row r="108" spans="1:3" ht="16.5" thickBot="1" x14ac:dyDescent="0.3">
      <c r="A108" s="74" t="s">
        <v>329</v>
      </c>
      <c r="B108" s="39" t="s">
        <v>330</v>
      </c>
      <c r="C108" s="41"/>
    </row>
    <row r="109" spans="1:3" x14ac:dyDescent="0.25">
      <c r="A109" s="76"/>
      <c r="B109" s="467"/>
      <c r="C109" s="467"/>
    </row>
    <row r="110" spans="1:3" x14ac:dyDescent="0.25">
      <c r="A110" s="632" t="s">
        <v>404</v>
      </c>
      <c r="B110" s="633"/>
      <c r="C110" s="633"/>
    </row>
    <row r="111" spans="1:3" ht="15.75" thickBot="1" x14ac:dyDescent="0.3">
      <c r="A111" s="634" t="s">
        <v>332</v>
      </c>
      <c r="B111" s="635"/>
      <c r="C111" s="635"/>
    </row>
    <row r="112" spans="1:3" ht="15.75" thickBot="1" x14ac:dyDescent="0.3">
      <c r="A112" s="630" t="s">
        <v>333</v>
      </c>
      <c r="B112" s="631"/>
      <c r="C112" s="73" t="s">
        <v>334</v>
      </c>
    </row>
    <row r="113" spans="1:3" ht="24.75" thickBot="1" x14ac:dyDescent="0.3">
      <c r="A113" s="626" t="s">
        <v>335</v>
      </c>
      <c r="B113" s="627"/>
      <c r="C113" s="42" t="s">
        <v>405</v>
      </c>
    </row>
    <row r="114" spans="1:3" ht="24.75" thickBot="1" x14ac:dyDescent="0.3">
      <c r="A114" s="626" t="s">
        <v>336</v>
      </c>
      <c r="B114" s="627"/>
      <c r="C114" s="42" t="s">
        <v>406</v>
      </c>
    </row>
    <row r="115" spans="1:3" ht="48.75" thickBot="1" x14ac:dyDescent="0.3">
      <c r="A115" s="626" t="s">
        <v>338</v>
      </c>
      <c r="B115" s="627"/>
      <c r="C115" s="42" t="s">
        <v>407</v>
      </c>
    </row>
    <row r="116" spans="1:3" ht="15.75" thickBot="1" x14ac:dyDescent="0.3">
      <c r="A116" s="626" t="s">
        <v>340</v>
      </c>
      <c r="B116" s="627"/>
      <c r="C116" s="42" t="s">
        <v>408</v>
      </c>
    </row>
    <row r="117" spans="1:3" ht="15.75" thickBot="1" x14ac:dyDescent="0.3">
      <c r="A117" s="626" t="s">
        <v>342</v>
      </c>
      <c r="B117" s="627"/>
      <c r="C117" s="42" t="s">
        <v>387</v>
      </c>
    </row>
    <row r="118" spans="1:3" ht="48.75" thickBot="1" x14ac:dyDescent="0.3">
      <c r="A118" s="626" t="s">
        <v>344</v>
      </c>
      <c r="B118" s="627"/>
      <c r="C118" s="42" t="s">
        <v>409</v>
      </c>
    </row>
    <row r="119" spans="1:3" ht="15.75" thickBot="1" x14ac:dyDescent="0.3">
      <c r="A119" s="628" t="s">
        <v>346</v>
      </c>
      <c r="B119" s="341" t="s">
        <v>347</v>
      </c>
      <c r="C119" s="42"/>
    </row>
    <row r="120" spans="1:3" ht="24.75" thickBot="1" x14ac:dyDescent="0.3">
      <c r="A120" s="629"/>
      <c r="B120" s="341" t="s">
        <v>348</v>
      </c>
      <c r="C120" s="42" t="s">
        <v>410</v>
      </c>
    </row>
    <row r="121" spans="1:3" ht="15.75" thickBot="1" x14ac:dyDescent="0.3">
      <c r="A121" s="626" t="s">
        <v>350</v>
      </c>
      <c r="B121" s="627"/>
      <c r="C121" s="42">
        <v>0</v>
      </c>
    </row>
    <row r="122" spans="1:3" ht="24.75" thickBot="1" x14ac:dyDescent="0.3">
      <c r="A122" s="626" t="s">
        <v>352</v>
      </c>
      <c r="B122" s="627"/>
      <c r="C122" s="42" t="s">
        <v>411</v>
      </c>
    </row>
    <row r="123" spans="1:3" ht="15.75" thickBot="1" x14ac:dyDescent="0.3">
      <c r="A123" s="626" t="s">
        <v>354</v>
      </c>
      <c r="B123" s="627"/>
      <c r="C123" s="42" t="s">
        <v>355</v>
      </c>
    </row>
    <row r="124" spans="1:3" ht="36.75" thickBot="1" x14ac:dyDescent="0.3">
      <c r="A124" s="626" t="s">
        <v>356</v>
      </c>
      <c r="B124" s="627"/>
      <c r="C124" s="42" t="s">
        <v>412</v>
      </c>
    </row>
    <row r="125" spans="1:3" x14ac:dyDescent="0.25">
      <c r="A125" s="636" t="s">
        <v>358</v>
      </c>
      <c r="B125" s="637"/>
      <c r="C125" s="44" t="s">
        <v>392</v>
      </c>
    </row>
    <row r="126" spans="1:3" x14ac:dyDescent="0.25">
      <c r="A126" s="638"/>
      <c r="B126" s="639"/>
      <c r="C126" s="44" t="s">
        <v>360</v>
      </c>
    </row>
    <row r="127" spans="1:3" ht="15.75" thickBot="1" x14ac:dyDescent="0.3">
      <c r="A127" s="640"/>
      <c r="B127" s="641"/>
      <c r="C127" s="42" t="s">
        <v>379</v>
      </c>
    </row>
    <row r="128" spans="1:3" ht="63.6" customHeight="1" thickBot="1" x14ac:dyDescent="0.3">
      <c r="A128" s="626" t="s">
        <v>362</v>
      </c>
      <c r="B128" s="627"/>
      <c r="C128" s="42" t="s">
        <v>413</v>
      </c>
    </row>
    <row r="129" spans="1:3" ht="36.75" thickBot="1" x14ac:dyDescent="0.3">
      <c r="A129" s="626" t="s">
        <v>364</v>
      </c>
      <c r="B129" s="627"/>
      <c r="C129" s="42" t="s">
        <v>414</v>
      </c>
    </row>
    <row r="130" spans="1:3" ht="65.45" customHeight="1" thickBot="1" x14ac:dyDescent="0.3">
      <c r="A130" s="622" t="s">
        <v>322</v>
      </c>
      <c r="B130" s="623"/>
      <c r="C130" s="623"/>
    </row>
    <row r="131" spans="1:3" ht="16.5" thickBot="1" x14ac:dyDescent="0.3">
      <c r="A131" s="74" t="s">
        <v>323</v>
      </c>
      <c r="B131" s="39" t="s">
        <v>324</v>
      </c>
      <c r="C131" s="40"/>
    </row>
    <row r="132" spans="1:3" ht="32.25" thickBot="1" x14ac:dyDescent="0.3">
      <c r="A132" s="75" t="s">
        <v>325</v>
      </c>
      <c r="B132" s="624" t="s">
        <v>326</v>
      </c>
      <c r="C132" s="625"/>
    </row>
    <row r="133" spans="1:3" ht="16.5" thickBot="1" x14ac:dyDescent="0.3">
      <c r="A133" s="74" t="s">
        <v>327</v>
      </c>
      <c r="B133" s="39" t="s">
        <v>328</v>
      </c>
      <c r="C133" s="40"/>
    </row>
    <row r="134" spans="1:3" ht="16.5" thickBot="1" x14ac:dyDescent="0.3">
      <c r="A134" s="74" t="s">
        <v>329</v>
      </c>
      <c r="B134" s="39" t="s">
        <v>330</v>
      </c>
      <c r="C134" s="41"/>
    </row>
    <row r="135" spans="1:3" x14ac:dyDescent="0.25">
      <c r="A135" s="76"/>
      <c r="B135" s="467"/>
      <c r="C135" s="467"/>
    </row>
    <row r="136" spans="1:3" x14ac:dyDescent="0.25">
      <c r="A136" s="632" t="s">
        <v>415</v>
      </c>
      <c r="B136" s="633"/>
      <c r="C136" s="633"/>
    </row>
    <row r="137" spans="1:3" ht="28.15" customHeight="1" thickBot="1" x14ac:dyDescent="0.3">
      <c r="A137" s="634" t="s">
        <v>332</v>
      </c>
      <c r="B137" s="635"/>
      <c r="C137" s="635"/>
    </row>
    <row r="138" spans="1:3" ht="36.6" customHeight="1" thickBot="1" x14ac:dyDescent="0.3">
      <c r="A138" s="630" t="s">
        <v>333</v>
      </c>
      <c r="B138" s="631"/>
      <c r="C138" s="73" t="s">
        <v>334</v>
      </c>
    </row>
    <row r="139" spans="1:3" ht="15.75" thickBot="1" x14ac:dyDescent="0.3">
      <c r="A139" s="626" t="s">
        <v>335</v>
      </c>
      <c r="B139" s="627"/>
      <c r="C139" s="42" t="s">
        <v>416</v>
      </c>
    </row>
    <row r="140" spans="1:3" ht="24.75" thickBot="1" x14ac:dyDescent="0.3">
      <c r="A140" s="626" t="s">
        <v>336</v>
      </c>
      <c r="B140" s="627"/>
      <c r="C140" s="42" t="s">
        <v>417</v>
      </c>
    </row>
    <row r="141" spans="1:3" ht="36.75" thickBot="1" x14ac:dyDescent="0.3">
      <c r="A141" s="626" t="s">
        <v>338</v>
      </c>
      <c r="B141" s="627"/>
      <c r="C141" s="42" t="s">
        <v>418</v>
      </c>
    </row>
    <row r="142" spans="1:3" ht="30" customHeight="1" thickBot="1" x14ac:dyDescent="0.3">
      <c r="A142" s="626" t="s">
        <v>340</v>
      </c>
      <c r="B142" s="627"/>
      <c r="C142" s="42" t="s">
        <v>419</v>
      </c>
    </row>
    <row r="143" spans="1:3" ht="15.75" thickBot="1" x14ac:dyDescent="0.3">
      <c r="A143" s="626" t="s">
        <v>342</v>
      </c>
      <c r="B143" s="627"/>
      <c r="C143" s="42" t="s">
        <v>387</v>
      </c>
    </row>
    <row r="144" spans="1:3" ht="36.75" thickBot="1" x14ac:dyDescent="0.3">
      <c r="A144" s="626" t="s">
        <v>344</v>
      </c>
      <c r="B144" s="627"/>
      <c r="C144" s="42" t="s">
        <v>420</v>
      </c>
    </row>
    <row r="145" spans="1:3" ht="15.75" thickBot="1" x14ac:dyDescent="0.3">
      <c r="A145" s="628" t="s">
        <v>346</v>
      </c>
      <c r="B145" s="341" t="s">
        <v>347</v>
      </c>
      <c r="C145" s="42"/>
    </row>
    <row r="146" spans="1:3" ht="24.75" thickBot="1" x14ac:dyDescent="0.3">
      <c r="A146" s="629"/>
      <c r="B146" s="341" t="s">
        <v>348</v>
      </c>
      <c r="C146" s="42" t="s">
        <v>421</v>
      </c>
    </row>
    <row r="147" spans="1:3" ht="15.75" thickBot="1" x14ac:dyDescent="0.3">
      <c r="A147" s="626" t="s">
        <v>350</v>
      </c>
      <c r="B147" s="627"/>
      <c r="C147" s="42">
        <v>0</v>
      </c>
    </row>
    <row r="148" spans="1:3" ht="24.75" thickBot="1" x14ac:dyDescent="0.3">
      <c r="A148" s="626" t="s">
        <v>352</v>
      </c>
      <c r="B148" s="627"/>
      <c r="C148" s="42" t="s">
        <v>422</v>
      </c>
    </row>
    <row r="149" spans="1:3" ht="15.75" thickBot="1" x14ac:dyDescent="0.3">
      <c r="A149" s="626" t="s">
        <v>354</v>
      </c>
      <c r="B149" s="627"/>
      <c r="C149" s="42" t="s">
        <v>355</v>
      </c>
    </row>
    <row r="150" spans="1:3" ht="36.75" thickBot="1" x14ac:dyDescent="0.3">
      <c r="A150" s="626" t="s">
        <v>356</v>
      </c>
      <c r="B150" s="627"/>
      <c r="C150" s="43" t="s">
        <v>423</v>
      </c>
    </row>
    <row r="151" spans="1:3" x14ac:dyDescent="0.25">
      <c r="A151" s="636" t="s">
        <v>358</v>
      </c>
      <c r="B151" s="637"/>
      <c r="C151" s="44" t="s">
        <v>377</v>
      </c>
    </row>
    <row r="152" spans="1:3" x14ac:dyDescent="0.25">
      <c r="A152" s="638"/>
      <c r="B152" s="639"/>
      <c r="C152" s="44" t="s">
        <v>360</v>
      </c>
    </row>
    <row r="153" spans="1:3" ht="15.75" thickBot="1" x14ac:dyDescent="0.3">
      <c r="A153" s="640"/>
      <c r="B153" s="641"/>
      <c r="C153" s="42" t="s">
        <v>361</v>
      </c>
    </row>
    <row r="154" spans="1:3" ht="65.45" customHeight="1" thickBot="1" x14ac:dyDescent="0.3">
      <c r="A154" s="626" t="s">
        <v>362</v>
      </c>
      <c r="B154" s="627"/>
      <c r="C154" s="42" t="s">
        <v>424</v>
      </c>
    </row>
    <row r="155" spans="1:3" ht="36.75" thickBot="1" x14ac:dyDescent="0.3">
      <c r="A155" s="626" t="s">
        <v>364</v>
      </c>
      <c r="B155" s="627"/>
      <c r="C155" s="42" t="s">
        <v>414</v>
      </c>
    </row>
    <row r="156" spans="1:3" ht="57.6" customHeight="1" thickBot="1" x14ac:dyDescent="0.3">
      <c r="A156" s="622" t="s">
        <v>322</v>
      </c>
      <c r="B156" s="623"/>
      <c r="C156" s="623"/>
    </row>
    <row r="157" spans="1:3" ht="16.5" thickBot="1" x14ac:dyDescent="0.3">
      <c r="A157" s="74" t="s">
        <v>323</v>
      </c>
      <c r="B157" s="39" t="s">
        <v>324</v>
      </c>
      <c r="C157" s="40"/>
    </row>
    <row r="158" spans="1:3" ht="32.25" thickBot="1" x14ac:dyDescent="0.3">
      <c r="A158" s="75" t="s">
        <v>325</v>
      </c>
      <c r="B158" s="624" t="s">
        <v>326</v>
      </c>
      <c r="C158" s="625"/>
    </row>
    <row r="159" spans="1:3" ht="16.5" thickBot="1" x14ac:dyDescent="0.3">
      <c r="A159" s="74" t="s">
        <v>327</v>
      </c>
      <c r="B159" s="39" t="s">
        <v>328</v>
      </c>
      <c r="C159" s="40"/>
    </row>
    <row r="160" spans="1:3" ht="16.5" thickBot="1" x14ac:dyDescent="0.3">
      <c r="A160" s="74" t="s">
        <v>329</v>
      </c>
      <c r="B160" s="39" t="s">
        <v>330</v>
      </c>
      <c r="C160" s="41"/>
    </row>
    <row r="161" spans="1:3" x14ac:dyDescent="0.25">
      <c r="A161" s="76"/>
      <c r="B161" s="467"/>
      <c r="C161" s="467"/>
    </row>
    <row r="162" spans="1:3" x14ac:dyDescent="0.25">
      <c r="A162" s="632" t="s">
        <v>425</v>
      </c>
      <c r="B162" s="633"/>
      <c r="C162" s="633"/>
    </row>
    <row r="163" spans="1:3" ht="34.15" customHeight="1" thickBot="1" x14ac:dyDescent="0.3">
      <c r="A163" s="634" t="s">
        <v>332</v>
      </c>
      <c r="B163" s="635"/>
      <c r="C163" s="635"/>
    </row>
    <row r="164" spans="1:3" ht="15.75" thickBot="1" x14ac:dyDescent="0.3">
      <c r="A164" s="630" t="s">
        <v>333</v>
      </c>
      <c r="B164" s="631"/>
      <c r="C164" s="73" t="s">
        <v>334</v>
      </c>
    </row>
    <row r="165" spans="1:3" ht="24.75" thickBot="1" x14ac:dyDescent="0.3">
      <c r="A165" s="626" t="s">
        <v>335</v>
      </c>
      <c r="B165" s="627"/>
      <c r="C165" s="42" t="s">
        <v>426</v>
      </c>
    </row>
    <row r="166" spans="1:3" ht="34.15" customHeight="1" thickBot="1" x14ac:dyDescent="0.3">
      <c r="A166" s="626" t="s">
        <v>336</v>
      </c>
      <c r="B166" s="627"/>
      <c r="C166" s="42" t="s">
        <v>427</v>
      </c>
    </row>
    <row r="167" spans="1:3" ht="60.75" thickBot="1" x14ac:dyDescent="0.3">
      <c r="A167" s="626" t="s">
        <v>338</v>
      </c>
      <c r="B167" s="627"/>
      <c r="C167" s="42" t="s">
        <v>428</v>
      </c>
    </row>
    <row r="168" spans="1:3" ht="15.75" thickBot="1" x14ac:dyDescent="0.3">
      <c r="A168" s="626" t="s">
        <v>340</v>
      </c>
      <c r="B168" s="627"/>
      <c r="C168" s="42" t="s">
        <v>429</v>
      </c>
    </row>
    <row r="169" spans="1:3" ht="15.75" thickBot="1" x14ac:dyDescent="0.3">
      <c r="A169" s="626" t="s">
        <v>342</v>
      </c>
      <c r="B169" s="627"/>
      <c r="C169" s="42" t="s">
        <v>387</v>
      </c>
    </row>
    <row r="170" spans="1:3" ht="24.75" thickBot="1" x14ac:dyDescent="0.3">
      <c r="A170" s="626" t="s">
        <v>344</v>
      </c>
      <c r="B170" s="627"/>
      <c r="C170" s="42" t="s">
        <v>430</v>
      </c>
    </row>
    <row r="171" spans="1:3" ht="15.75" thickBot="1" x14ac:dyDescent="0.3">
      <c r="A171" s="628" t="s">
        <v>346</v>
      </c>
      <c r="B171" s="341" t="s">
        <v>347</v>
      </c>
      <c r="C171" s="42"/>
    </row>
    <row r="172" spans="1:3" ht="36.75" thickBot="1" x14ac:dyDescent="0.3">
      <c r="A172" s="629"/>
      <c r="B172" s="341" t="s">
        <v>348</v>
      </c>
      <c r="C172" s="42" t="s">
        <v>431</v>
      </c>
    </row>
    <row r="173" spans="1:3" ht="15.75" thickBot="1" x14ac:dyDescent="0.3">
      <c r="A173" s="626" t="s">
        <v>350</v>
      </c>
      <c r="B173" s="627"/>
      <c r="C173" s="42">
        <v>0</v>
      </c>
    </row>
    <row r="174" spans="1:3" ht="36.75" thickBot="1" x14ac:dyDescent="0.3">
      <c r="A174" s="626" t="s">
        <v>352</v>
      </c>
      <c r="B174" s="627"/>
      <c r="C174" s="42" t="s">
        <v>432</v>
      </c>
    </row>
    <row r="175" spans="1:3" ht="15.75" thickBot="1" x14ac:dyDescent="0.3">
      <c r="A175" s="626" t="s">
        <v>354</v>
      </c>
      <c r="B175" s="627"/>
      <c r="C175" s="42" t="s">
        <v>433</v>
      </c>
    </row>
    <row r="176" spans="1:3" ht="36.75" thickBot="1" x14ac:dyDescent="0.3">
      <c r="A176" s="626" t="s">
        <v>356</v>
      </c>
      <c r="B176" s="627"/>
      <c r="C176" s="43" t="s">
        <v>434</v>
      </c>
    </row>
    <row r="177" spans="1:3" x14ac:dyDescent="0.25">
      <c r="A177" s="636" t="s">
        <v>358</v>
      </c>
      <c r="B177" s="637"/>
      <c r="C177" s="44" t="s">
        <v>377</v>
      </c>
    </row>
    <row r="178" spans="1:3" x14ac:dyDescent="0.25">
      <c r="A178" s="638"/>
      <c r="B178" s="639"/>
      <c r="C178" s="44" t="s">
        <v>360</v>
      </c>
    </row>
    <row r="179" spans="1:3" ht="15.75" thickBot="1" x14ac:dyDescent="0.3">
      <c r="A179" s="640"/>
      <c r="B179" s="641"/>
      <c r="C179" s="42" t="s">
        <v>361</v>
      </c>
    </row>
    <row r="180" spans="1:3" ht="36.75" thickBot="1" x14ac:dyDescent="0.3">
      <c r="A180" s="626" t="s">
        <v>362</v>
      </c>
      <c r="B180" s="627"/>
      <c r="C180" s="42" t="s">
        <v>435</v>
      </c>
    </row>
    <row r="181" spans="1:3" ht="36.75" thickBot="1" x14ac:dyDescent="0.3">
      <c r="A181" s="626" t="s">
        <v>364</v>
      </c>
      <c r="B181" s="627"/>
      <c r="C181" s="42" t="s">
        <v>414</v>
      </c>
    </row>
  </sheetData>
  <mergeCells count="133">
    <mergeCell ref="A168:B168"/>
    <mergeCell ref="A169:B169"/>
    <mergeCell ref="A170:B170"/>
    <mergeCell ref="A171:A172"/>
    <mergeCell ref="A173:B173"/>
    <mergeCell ref="A174:B174"/>
    <mergeCell ref="A175:B175"/>
    <mergeCell ref="A176:B176"/>
    <mergeCell ref="A137:C137"/>
    <mergeCell ref="A138:B138"/>
    <mergeCell ref="A139:B139"/>
    <mergeCell ref="A130:C130"/>
    <mergeCell ref="B132:C132"/>
    <mergeCell ref="A140:B140"/>
    <mergeCell ref="A177:B179"/>
    <mergeCell ref="A180:B180"/>
    <mergeCell ref="A181:B181"/>
    <mergeCell ref="A147:B147"/>
    <mergeCell ref="A148:B148"/>
    <mergeCell ref="A149:B149"/>
    <mergeCell ref="A150:B150"/>
    <mergeCell ref="A151:B153"/>
    <mergeCell ref="A154:B154"/>
    <mergeCell ref="A155:B155"/>
    <mergeCell ref="A162:C162"/>
    <mergeCell ref="A163:C163"/>
    <mergeCell ref="A164:B164"/>
    <mergeCell ref="A165:B165"/>
    <mergeCell ref="A166:B166"/>
    <mergeCell ref="A156:C156"/>
    <mergeCell ref="B158:C158"/>
    <mergeCell ref="A167:B167"/>
    <mergeCell ref="A98:B98"/>
    <mergeCell ref="A99:B101"/>
    <mergeCell ref="A102:B102"/>
    <mergeCell ref="A103:B103"/>
    <mergeCell ref="A141:B141"/>
    <mergeCell ref="A142:B142"/>
    <mergeCell ref="A143:B143"/>
    <mergeCell ref="A144:B144"/>
    <mergeCell ref="A145:A146"/>
    <mergeCell ref="A113:B113"/>
    <mergeCell ref="A114:B114"/>
    <mergeCell ref="A115:B115"/>
    <mergeCell ref="A116:B116"/>
    <mergeCell ref="A117:B117"/>
    <mergeCell ref="A118:B118"/>
    <mergeCell ref="A119:A120"/>
    <mergeCell ref="A121:B121"/>
    <mergeCell ref="A122:B122"/>
    <mergeCell ref="A123:B123"/>
    <mergeCell ref="A124:B124"/>
    <mergeCell ref="A125:B127"/>
    <mergeCell ref="A128:B128"/>
    <mergeCell ref="A129:B129"/>
    <mergeCell ref="A136:C136"/>
    <mergeCell ref="A110:C110"/>
    <mergeCell ref="A111:C111"/>
    <mergeCell ref="A112:B112"/>
    <mergeCell ref="A104:C104"/>
    <mergeCell ref="B106:C106"/>
    <mergeCell ref="A72:B72"/>
    <mergeCell ref="A73:B75"/>
    <mergeCell ref="A76:B76"/>
    <mergeCell ref="A77:B77"/>
    <mergeCell ref="A84:C84"/>
    <mergeCell ref="A85:C85"/>
    <mergeCell ref="A78:C78"/>
    <mergeCell ref="B80:C80"/>
    <mergeCell ref="A86:B86"/>
    <mergeCell ref="A87:B87"/>
    <mergeCell ref="A88:B88"/>
    <mergeCell ref="A89:B89"/>
    <mergeCell ref="A90:B90"/>
    <mergeCell ref="A91:B91"/>
    <mergeCell ref="A92:B92"/>
    <mergeCell ref="A93:A94"/>
    <mergeCell ref="A95:B95"/>
    <mergeCell ref="A96:B96"/>
    <mergeCell ref="A97:B97"/>
    <mergeCell ref="A69:B69"/>
    <mergeCell ref="A70:B70"/>
    <mergeCell ref="A71:B71"/>
    <mergeCell ref="A51:B51"/>
    <mergeCell ref="A58:C58"/>
    <mergeCell ref="A38:B38"/>
    <mergeCell ref="A39:B39"/>
    <mergeCell ref="A40:B40"/>
    <mergeCell ref="A41:A42"/>
    <mergeCell ref="A43:B43"/>
    <mergeCell ref="A44:B44"/>
    <mergeCell ref="A52:C52"/>
    <mergeCell ref="B54:C54"/>
    <mergeCell ref="A59:C59"/>
    <mergeCell ref="A60:B60"/>
    <mergeCell ref="A61:B61"/>
    <mergeCell ref="A62:B62"/>
    <mergeCell ref="A63:B63"/>
    <mergeCell ref="A64:B64"/>
    <mergeCell ref="A65:B65"/>
    <mergeCell ref="A66:B66"/>
    <mergeCell ref="A67:A68"/>
    <mergeCell ref="A26:C26"/>
    <mergeCell ref="B28:C28"/>
    <mergeCell ref="A45:B45"/>
    <mergeCell ref="A46:B46"/>
    <mergeCell ref="A47:B49"/>
    <mergeCell ref="A50:B50"/>
    <mergeCell ref="A18:B18"/>
    <mergeCell ref="A19:B19"/>
    <mergeCell ref="A20:B20"/>
    <mergeCell ref="A21:B23"/>
    <mergeCell ref="A24:B24"/>
    <mergeCell ref="A25:B25"/>
    <mergeCell ref="A32:C32"/>
    <mergeCell ref="A33:C33"/>
    <mergeCell ref="A34:B34"/>
    <mergeCell ref="A35:B35"/>
    <mergeCell ref="A36:B36"/>
    <mergeCell ref="A37:B37"/>
    <mergeCell ref="A1:C1"/>
    <mergeCell ref="B3:C3"/>
    <mergeCell ref="A11:B11"/>
    <mergeCell ref="A12:B12"/>
    <mergeCell ref="A13:B13"/>
    <mergeCell ref="A14:B14"/>
    <mergeCell ref="A15:A16"/>
    <mergeCell ref="A17:B17"/>
    <mergeCell ref="A8:B8"/>
    <mergeCell ref="A9:B9"/>
    <mergeCell ref="A10:B10"/>
    <mergeCell ref="A6:C6"/>
    <mergeCell ref="A7:C7"/>
  </mergeCells>
  <pageMargins left="1" right="1" top="1" bottom="1" header="0.5" footer="0.5"/>
  <pageSetup scale="69" fitToHeight="0" orientation="portrait" r:id="rId1"/>
  <rowBreaks count="6" manualBreakCount="6">
    <brk id="25" max="16383" man="1"/>
    <brk id="51" max="16383" man="1"/>
    <brk id="77" max="16383" man="1"/>
    <brk id="103" max="16383" man="1"/>
    <brk id="129" max="16383" man="1"/>
    <brk id="15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897F8-0FB8-4192-A2DC-8F82DB01420B}">
  <dimension ref="B4:F87"/>
  <sheetViews>
    <sheetView topLeftCell="A29" workbookViewId="0">
      <selection activeCell="D86" sqref="D86"/>
    </sheetView>
  </sheetViews>
  <sheetFormatPr baseColWidth="10" defaultRowHeight="15" x14ac:dyDescent="0.25"/>
  <cols>
    <col min="2" max="2" width="21.28515625" customWidth="1"/>
    <col min="3" max="3" width="23.5703125" customWidth="1"/>
    <col min="4" max="4" width="30.140625" customWidth="1"/>
  </cols>
  <sheetData>
    <row r="4" spans="2:3" x14ac:dyDescent="0.25">
      <c r="B4">
        <f>+'MAPP IFAM 2020 PROG. I'!AC21</f>
        <v>140658850.94</v>
      </c>
    </row>
    <row r="5" spans="2:3" x14ac:dyDescent="0.25">
      <c r="B5">
        <v>140658850.94</v>
      </c>
    </row>
    <row r="6" spans="2:3" x14ac:dyDescent="0.25">
      <c r="B6">
        <f>+B4-B5</f>
        <v>0</v>
      </c>
    </row>
    <row r="9" spans="2:3" x14ac:dyDescent="0.25">
      <c r="B9">
        <f>+'MAPP IFAM 2020 PROG. I'!AC24</f>
        <v>1419277958.3299999</v>
      </c>
    </row>
    <row r="10" spans="2:3" x14ac:dyDescent="0.25">
      <c r="B10" s="95">
        <v>1419277958.3299999</v>
      </c>
    </row>
    <row r="11" spans="2:3" x14ac:dyDescent="0.25">
      <c r="B11" s="95">
        <f>+B10-B9</f>
        <v>0</v>
      </c>
    </row>
    <row r="15" spans="2:3" x14ac:dyDescent="0.25">
      <c r="B15" s="95">
        <v>1011154937.88</v>
      </c>
    </row>
    <row r="16" spans="2:3" x14ac:dyDescent="0.25">
      <c r="B16" s="95">
        <v>5706625.6500000004</v>
      </c>
      <c r="C16" t="s">
        <v>513</v>
      </c>
    </row>
    <row r="17" spans="2:3" x14ac:dyDescent="0.25">
      <c r="B17" s="95">
        <v>5184855.84</v>
      </c>
      <c r="C17" t="s">
        <v>514</v>
      </c>
    </row>
    <row r="18" spans="2:3" x14ac:dyDescent="0.25">
      <c r="B18" s="95">
        <v>263456.39</v>
      </c>
      <c r="C18" t="s">
        <v>515</v>
      </c>
    </row>
    <row r="19" spans="2:3" x14ac:dyDescent="0.25">
      <c r="B19" s="95">
        <f>+B15-B16-B17-B18</f>
        <v>1000000000</v>
      </c>
    </row>
    <row r="21" spans="2:3" x14ac:dyDescent="0.25">
      <c r="B21" s="95">
        <f>+B19+B18+B16</f>
        <v>1005970082.04</v>
      </c>
    </row>
    <row r="24" spans="2:3" x14ac:dyDescent="0.25">
      <c r="B24" s="333">
        <v>1134352906.9000001</v>
      </c>
    </row>
    <row r="25" spans="2:3" x14ac:dyDescent="0.25">
      <c r="B25" s="333">
        <f>+'MAPP IFAM 2020 PROG. I'!AK24</f>
        <v>1134352906.9000001</v>
      </c>
    </row>
    <row r="26" spans="2:3" x14ac:dyDescent="0.25">
      <c r="B26">
        <f>+B24-B25</f>
        <v>0</v>
      </c>
    </row>
    <row r="28" spans="2:3" x14ac:dyDescent="0.25">
      <c r="B28" s="95">
        <v>10503909.699999999</v>
      </c>
    </row>
    <row r="29" spans="2:3" x14ac:dyDescent="0.25">
      <c r="B29">
        <f>+B28*0.4</f>
        <v>4201563.88</v>
      </c>
    </row>
    <row r="30" spans="2:3" x14ac:dyDescent="0.25">
      <c r="B30">
        <f>+B28*0.6</f>
        <v>6302345.8199999994</v>
      </c>
    </row>
    <row r="32" spans="2:3" x14ac:dyDescent="0.25">
      <c r="B32" s="95">
        <v>85633322.260000005</v>
      </c>
    </row>
    <row r="33" spans="2:6" x14ac:dyDescent="0.25">
      <c r="B33" s="334">
        <f>+'MAPP IFAM 2020 PROG. I'!AC31</f>
        <v>85633322.25999999</v>
      </c>
    </row>
    <row r="34" spans="2:6" x14ac:dyDescent="0.25">
      <c r="B34" s="335">
        <f>+B32-B33</f>
        <v>0</v>
      </c>
    </row>
    <row r="35" spans="2:6" x14ac:dyDescent="0.25">
      <c r="F35">
        <v>39.6</v>
      </c>
    </row>
    <row r="36" spans="2:6" x14ac:dyDescent="0.25">
      <c r="B36" s="95">
        <v>139679480.72999999</v>
      </c>
      <c r="F36">
        <v>55</v>
      </c>
    </row>
    <row r="37" spans="2:6" x14ac:dyDescent="0.25">
      <c r="B37">
        <f>+'MAPP IFAM 2020 PROG. I'!AC33</f>
        <v>139679480.73000002</v>
      </c>
      <c r="F37">
        <f>SUM(F35:F36)</f>
        <v>94.6</v>
      </c>
    </row>
    <row r="38" spans="2:6" x14ac:dyDescent="0.25">
      <c r="B38" s="95">
        <f>+B36-B37</f>
        <v>0</v>
      </c>
    </row>
    <row r="40" spans="2:6" x14ac:dyDescent="0.25">
      <c r="D40">
        <v>725000</v>
      </c>
      <c r="F40">
        <v>725000</v>
      </c>
    </row>
    <row r="41" spans="2:6" x14ac:dyDescent="0.25">
      <c r="F41">
        <f>+F40*94%</f>
        <v>681500</v>
      </c>
    </row>
    <row r="42" spans="2:6" x14ac:dyDescent="0.25">
      <c r="C42">
        <v>717000</v>
      </c>
      <c r="D42">
        <f>+C42*C43</f>
        <v>8532.3000000000011</v>
      </c>
      <c r="F42">
        <f>+F40+F41</f>
        <v>1406500</v>
      </c>
    </row>
    <row r="43" spans="2:6" x14ac:dyDescent="0.25">
      <c r="B43">
        <f>16*4</f>
        <v>64</v>
      </c>
      <c r="C43" s="336">
        <v>1.1900000000000001E-2</v>
      </c>
      <c r="D43">
        <f>+C42*C43*100</f>
        <v>853230.00000000012</v>
      </c>
    </row>
    <row r="44" spans="2:6" x14ac:dyDescent="0.25">
      <c r="D44">
        <f>+D43+C42</f>
        <v>1570230</v>
      </c>
    </row>
    <row r="46" spans="2:6" x14ac:dyDescent="0.25">
      <c r="B46">
        <f>18*4</f>
        <v>72</v>
      </c>
    </row>
    <row r="47" spans="2:6" x14ac:dyDescent="0.25">
      <c r="B47">
        <v>55</v>
      </c>
    </row>
    <row r="48" spans="2:6" x14ac:dyDescent="0.25">
      <c r="B48">
        <f>+B46+B47</f>
        <v>127</v>
      </c>
      <c r="D48">
        <f>+D40*B49</f>
        <v>920750</v>
      </c>
    </row>
    <row r="49" spans="2:6" x14ac:dyDescent="0.25">
      <c r="B49" s="336">
        <v>1.27</v>
      </c>
      <c r="D49">
        <f>+D40+D48</f>
        <v>1645750</v>
      </c>
      <c r="F49">
        <f>20*1.98</f>
        <v>39.6</v>
      </c>
    </row>
    <row r="52" spans="2:6" x14ac:dyDescent="0.25">
      <c r="D52">
        <f>1.94%*20</f>
        <v>0.38800000000000001</v>
      </c>
    </row>
    <row r="57" spans="2:6" x14ac:dyDescent="0.25">
      <c r="B57" s="334">
        <v>64302830</v>
      </c>
    </row>
    <row r="58" spans="2:6" x14ac:dyDescent="0.25">
      <c r="B58" s="334">
        <f>+'MAPP IFAM 2020 PROG. I'!AK33</f>
        <v>64302830</v>
      </c>
    </row>
    <row r="59" spans="2:6" x14ac:dyDescent="0.25">
      <c r="B59" s="334">
        <f>+B57-B58</f>
        <v>0</v>
      </c>
    </row>
    <row r="60" spans="2:6" x14ac:dyDescent="0.25">
      <c r="B60" s="334">
        <f>+B59/2</f>
        <v>0</v>
      </c>
    </row>
    <row r="62" spans="2:6" x14ac:dyDescent="0.25">
      <c r="B62" s="95">
        <v>3644026086.0500002</v>
      </c>
      <c r="C62" s="95">
        <v>4503436078.3800001</v>
      </c>
    </row>
    <row r="63" spans="2:6" x14ac:dyDescent="0.25">
      <c r="B63" s="150">
        <v>425600111.13999999</v>
      </c>
    </row>
    <row r="64" spans="2:6" x14ac:dyDescent="0.25">
      <c r="B64" s="95">
        <f>SUM(B62:B63)</f>
        <v>4069626197.1900001</v>
      </c>
      <c r="C64" s="95">
        <f>+B64-'MAPP IFAM 2020 PROG. I'!AC38</f>
        <v>0</v>
      </c>
    </row>
    <row r="65" spans="2:4" x14ac:dyDescent="0.25">
      <c r="C65" s="95">
        <f>+C62-B64</f>
        <v>433809881.19000006</v>
      </c>
    </row>
    <row r="67" spans="2:4" x14ac:dyDescent="0.25">
      <c r="C67" s="95">
        <f>+C65-'MAPP IFAM 2020 PROG. I'!AC37</f>
        <v>0</v>
      </c>
    </row>
    <row r="68" spans="2:4" x14ac:dyDescent="0.25">
      <c r="B68" s="95">
        <v>1995516011.8499999</v>
      </c>
    </row>
    <row r="69" spans="2:4" x14ac:dyDescent="0.25">
      <c r="B69" s="150">
        <v>241510030.13</v>
      </c>
    </row>
    <row r="70" spans="2:4" x14ac:dyDescent="0.25">
      <c r="B70" s="95">
        <f>SUM(B68:B69)</f>
        <v>2237026041.98</v>
      </c>
      <c r="C70" s="95">
        <v>2479357315.6799998</v>
      </c>
    </row>
    <row r="71" spans="2:4" x14ac:dyDescent="0.25">
      <c r="C71" s="95">
        <f>+C70-B70</f>
        <v>242331273.69999981</v>
      </c>
    </row>
    <row r="72" spans="2:4" x14ac:dyDescent="0.25">
      <c r="B72" s="95">
        <f>+B70-'MAPP IFAM 2020 PROG. I'!AK38</f>
        <v>0</v>
      </c>
    </row>
    <row r="73" spans="2:4" x14ac:dyDescent="0.25">
      <c r="C73" s="95">
        <f>+C71-'MAPP IFAM 2020 PROG. I'!AK37</f>
        <v>0</v>
      </c>
    </row>
    <row r="77" spans="2:4" x14ac:dyDescent="0.25">
      <c r="B77" s="95">
        <v>1268307014.23</v>
      </c>
    </row>
    <row r="78" spans="2:4" x14ac:dyDescent="0.25">
      <c r="B78" s="95">
        <v>6950000</v>
      </c>
    </row>
    <row r="79" spans="2:4" x14ac:dyDescent="0.25">
      <c r="B79" s="45">
        <f>SUM(B77:B78)</f>
        <v>1275257014.23</v>
      </c>
      <c r="C79" s="45">
        <f>+'MAPP IFAM 2020 PROG. I'!AC39</f>
        <v>1275257014.23</v>
      </c>
      <c r="D79" s="166">
        <f>+B79-C79</f>
        <v>0</v>
      </c>
    </row>
    <row r="83" spans="2:4" x14ac:dyDescent="0.25">
      <c r="B83" s="95">
        <v>4548006991.4200001</v>
      </c>
      <c r="C83" s="334">
        <f>+'MAPP IFAM 2020 PROG. I'!AK50</f>
        <v>4548006991.4200001</v>
      </c>
      <c r="D83" s="335">
        <f>+B8-C83</f>
        <v>-4548006991.4200001</v>
      </c>
    </row>
    <row r="85" spans="2:4" x14ac:dyDescent="0.25">
      <c r="B85" s="95">
        <v>612388409.42999995</v>
      </c>
      <c r="D85" t="s">
        <v>517</v>
      </c>
    </row>
    <row r="86" spans="2:4" x14ac:dyDescent="0.25">
      <c r="B86" s="95">
        <v>1825198.6</v>
      </c>
      <c r="C86" s="95">
        <f>+B87-'MAPP IFAM 2020 PROG. I'!AK39</f>
        <v>0</v>
      </c>
    </row>
    <row r="87" spans="2:4" x14ac:dyDescent="0.25">
      <c r="B87" s="95">
        <f>+B85+B86</f>
        <v>614213608.02999997</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9AD0D-FB3B-4ED3-9681-9FA15D46B407}">
  <sheetPr>
    <pageSetUpPr fitToPage="1"/>
  </sheetPr>
  <dimension ref="A1:C181"/>
  <sheetViews>
    <sheetView showGridLines="0" view="pageBreakPreview" topLeftCell="A14" zoomScale="75" zoomScaleNormal="100" zoomScaleSheetLayoutView="75" workbookViewId="0">
      <selection activeCell="A14" sqref="A14:B14"/>
    </sheetView>
  </sheetViews>
  <sheetFormatPr baseColWidth="10" defaultColWidth="11.5703125" defaultRowHeight="15" x14ac:dyDescent="0.25"/>
  <cols>
    <col min="1" max="1" width="41.7109375" style="13" customWidth="1"/>
    <col min="2" max="2" width="12.28515625" style="13" customWidth="1"/>
    <col min="3" max="3" width="65.7109375" style="13" customWidth="1"/>
    <col min="4" max="16384" width="11.5703125" style="13"/>
  </cols>
  <sheetData>
    <row r="1" spans="1:3" ht="59.45" customHeight="1" thickBot="1" x14ac:dyDescent="0.3">
      <c r="A1" s="622" t="s">
        <v>322</v>
      </c>
      <c r="B1" s="623"/>
      <c r="C1" s="623"/>
    </row>
    <row r="2" spans="1:3" ht="27" customHeight="1" thickBot="1" x14ac:dyDescent="0.3">
      <c r="A2" s="74" t="s">
        <v>323</v>
      </c>
      <c r="B2" s="39" t="s">
        <v>324</v>
      </c>
      <c r="C2" s="40"/>
    </row>
    <row r="3" spans="1:3" ht="32.25" thickBot="1" x14ac:dyDescent="0.3">
      <c r="A3" s="75" t="s">
        <v>325</v>
      </c>
      <c r="B3" s="624" t="s">
        <v>326</v>
      </c>
      <c r="C3" s="625"/>
    </row>
    <row r="4" spans="1:3" ht="16.5" thickBot="1" x14ac:dyDescent="0.3">
      <c r="A4" s="74" t="s">
        <v>327</v>
      </c>
      <c r="B4" s="39" t="s">
        <v>328</v>
      </c>
      <c r="C4" s="40"/>
    </row>
    <row r="5" spans="1:3" ht="16.5" thickBot="1" x14ac:dyDescent="0.3">
      <c r="A5" s="74" t="s">
        <v>329</v>
      </c>
      <c r="B5" s="39" t="s">
        <v>330</v>
      </c>
      <c r="C5" s="41"/>
    </row>
    <row r="6" spans="1:3" ht="19.149999999999999" customHeight="1" x14ac:dyDescent="0.25">
      <c r="A6" s="632" t="s">
        <v>331</v>
      </c>
      <c r="B6" s="642"/>
      <c r="C6" s="642"/>
    </row>
    <row r="7" spans="1:3" ht="15" customHeight="1" thickBot="1" x14ac:dyDescent="0.3">
      <c r="A7" s="634" t="s">
        <v>332</v>
      </c>
      <c r="B7" s="635"/>
      <c r="C7" s="635"/>
    </row>
    <row r="8" spans="1:3" ht="15" customHeight="1" thickBot="1" x14ac:dyDescent="0.3">
      <c r="A8" s="630" t="s">
        <v>333</v>
      </c>
      <c r="B8" s="631"/>
      <c r="C8" s="312" t="s">
        <v>334</v>
      </c>
    </row>
    <row r="9" spans="1:3" ht="37.15" customHeight="1" thickBot="1" x14ac:dyDescent="0.3">
      <c r="A9" s="626" t="s">
        <v>335</v>
      </c>
      <c r="B9" s="627"/>
      <c r="C9" s="42" t="s">
        <v>243</v>
      </c>
    </row>
    <row r="10" spans="1:3" ht="37.15" customHeight="1" thickBot="1" x14ac:dyDescent="0.3">
      <c r="A10" s="626" t="s">
        <v>336</v>
      </c>
      <c r="B10" s="627"/>
      <c r="C10" s="42" t="s">
        <v>337</v>
      </c>
    </row>
    <row r="11" spans="1:3" ht="33" customHeight="1" thickBot="1" x14ac:dyDescent="0.3">
      <c r="A11" s="626" t="s">
        <v>338</v>
      </c>
      <c r="B11" s="627"/>
      <c r="C11" s="42" t="s">
        <v>339</v>
      </c>
    </row>
    <row r="12" spans="1:3" ht="36" customHeight="1" thickBot="1" x14ac:dyDescent="0.3">
      <c r="A12" s="626" t="s">
        <v>340</v>
      </c>
      <c r="B12" s="627"/>
      <c r="C12" s="42" t="s">
        <v>341</v>
      </c>
    </row>
    <row r="13" spans="1:3" ht="27" customHeight="1" thickBot="1" x14ac:dyDescent="0.3">
      <c r="A13" s="626" t="s">
        <v>342</v>
      </c>
      <c r="B13" s="627"/>
      <c r="C13" s="42" t="s">
        <v>343</v>
      </c>
    </row>
    <row r="14" spans="1:3" ht="44.1" customHeight="1" thickBot="1" x14ac:dyDescent="0.3">
      <c r="A14" s="626" t="s">
        <v>344</v>
      </c>
      <c r="B14" s="627"/>
      <c r="C14" s="42" t="s">
        <v>345</v>
      </c>
    </row>
    <row r="15" spans="1:3" ht="22.15" customHeight="1" thickBot="1" x14ac:dyDescent="0.3">
      <c r="A15" s="628" t="s">
        <v>346</v>
      </c>
      <c r="B15" s="313" t="s">
        <v>347</v>
      </c>
      <c r="C15" s="42"/>
    </row>
    <row r="16" spans="1:3" ht="29.45" customHeight="1" thickBot="1" x14ac:dyDescent="0.3">
      <c r="A16" s="629"/>
      <c r="B16" s="313" t="s">
        <v>348</v>
      </c>
      <c r="C16" s="42" t="s">
        <v>349</v>
      </c>
    </row>
    <row r="17" spans="1:3" ht="29.45" customHeight="1" thickBot="1" x14ac:dyDescent="0.3">
      <c r="A17" s="626" t="s">
        <v>350</v>
      </c>
      <c r="B17" s="627"/>
      <c r="C17" s="42" t="s">
        <v>351</v>
      </c>
    </row>
    <row r="18" spans="1:3" ht="37.15" customHeight="1" thickBot="1" x14ac:dyDescent="0.3">
      <c r="A18" s="626" t="s">
        <v>352</v>
      </c>
      <c r="B18" s="627"/>
      <c r="C18" s="42" t="s">
        <v>353</v>
      </c>
    </row>
    <row r="19" spans="1:3" ht="21.2" customHeight="1" thickBot="1" x14ac:dyDescent="0.3">
      <c r="A19" s="626" t="s">
        <v>354</v>
      </c>
      <c r="B19" s="627"/>
      <c r="C19" s="42" t="s">
        <v>355</v>
      </c>
    </row>
    <row r="20" spans="1:3" ht="39.200000000000003" customHeight="1" thickBot="1" x14ac:dyDescent="0.3">
      <c r="A20" s="626" t="s">
        <v>356</v>
      </c>
      <c r="B20" s="627"/>
      <c r="C20" s="43" t="s">
        <v>357</v>
      </c>
    </row>
    <row r="21" spans="1:3" ht="13.15" customHeight="1" x14ac:dyDescent="0.25">
      <c r="A21" s="636" t="s">
        <v>358</v>
      </c>
      <c r="B21" s="637"/>
      <c r="C21" s="44" t="s">
        <v>359</v>
      </c>
    </row>
    <row r="22" spans="1:3" ht="15" customHeight="1" x14ac:dyDescent="0.25">
      <c r="A22" s="638"/>
      <c r="B22" s="639"/>
      <c r="C22" s="44" t="s">
        <v>360</v>
      </c>
    </row>
    <row r="23" spans="1:3" ht="16.149999999999999" customHeight="1" thickBot="1" x14ac:dyDescent="0.3">
      <c r="A23" s="640"/>
      <c r="B23" s="641"/>
      <c r="C23" s="42" t="s">
        <v>361</v>
      </c>
    </row>
    <row r="24" spans="1:3" ht="42" customHeight="1" thickBot="1" x14ac:dyDescent="0.3">
      <c r="A24" s="626" t="s">
        <v>362</v>
      </c>
      <c r="B24" s="627"/>
      <c r="C24" s="42" t="s">
        <v>363</v>
      </c>
    </row>
    <row r="25" spans="1:3" ht="60.75" thickBot="1" x14ac:dyDescent="0.3">
      <c r="A25" s="626" t="s">
        <v>364</v>
      </c>
      <c r="B25" s="627"/>
      <c r="C25" s="42" t="s">
        <v>365</v>
      </c>
    </row>
    <row r="26" spans="1:3" ht="51" customHeight="1" thickBot="1" x14ac:dyDescent="0.3">
      <c r="A26" s="622" t="s">
        <v>322</v>
      </c>
      <c r="B26" s="623"/>
      <c r="C26" s="623"/>
    </row>
    <row r="27" spans="1:3" ht="16.5" thickBot="1" x14ac:dyDescent="0.3">
      <c r="A27" s="74" t="s">
        <v>323</v>
      </c>
      <c r="B27" s="39" t="s">
        <v>324</v>
      </c>
      <c r="C27" s="40"/>
    </row>
    <row r="28" spans="1:3" ht="32.25" thickBot="1" x14ac:dyDescent="0.3">
      <c r="A28" s="75" t="s">
        <v>325</v>
      </c>
      <c r="B28" s="624" t="s">
        <v>326</v>
      </c>
      <c r="C28" s="625"/>
    </row>
    <row r="29" spans="1:3" ht="16.5" thickBot="1" x14ac:dyDescent="0.3">
      <c r="A29" s="74" t="s">
        <v>327</v>
      </c>
      <c r="B29" s="39" t="s">
        <v>328</v>
      </c>
      <c r="C29" s="40"/>
    </row>
    <row r="30" spans="1:3" ht="16.5" thickBot="1" x14ac:dyDescent="0.3">
      <c r="A30" s="74" t="s">
        <v>329</v>
      </c>
      <c r="B30" s="39" t="s">
        <v>330</v>
      </c>
      <c r="C30" s="41"/>
    </row>
    <row r="31" spans="1:3" ht="5.45" customHeight="1" x14ac:dyDescent="0.25">
      <c r="A31" s="76"/>
      <c r="B31" s="77"/>
      <c r="C31" s="77"/>
    </row>
    <row r="32" spans="1:3" x14ac:dyDescent="0.25">
      <c r="A32" s="632" t="s">
        <v>366</v>
      </c>
      <c r="B32" s="642"/>
      <c r="C32" s="642"/>
    </row>
    <row r="33" spans="1:3" ht="18.75" customHeight="1" thickBot="1" x14ac:dyDescent="0.3">
      <c r="A33" s="634" t="s">
        <v>332</v>
      </c>
      <c r="B33" s="635"/>
      <c r="C33" s="635"/>
    </row>
    <row r="34" spans="1:3" ht="15.75" thickBot="1" x14ac:dyDescent="0.3">
      <c r="A34" s="630" t="s">
        <v>333</v>
      </c>
      <c r="B34" s="631"/>
      <c r="C34" s="73" t="s">
        <v>334</v>
      </c>
    </row>
    <row r="35" spans="1:3" ht="24.75" thickBot="1" x14ac:dyDescent="0.3">
      <c r="A35" s="626" t="s">
        <v>367</v>
      </c>
      <c r="B35" s="627"/>
      <c r="C35" s="42" t="s">
        <v>368</v>
      </c>
    </row>
    <row r="36" spans="1:3" ht="24" customHeight="1" thickBot="1" x14ac:dyDescent="0.3">
      <c r="A36" s="626" t="s">
        <v>336</v>
      </c>
      <c r="B36" s="627"/>
      <c r="C36" s="42" t="s">
        <v>369</v>
      </c>
    </row>
    <row r="37" spans="1:3" ht="36.75" thickBot="1" x14ac:dyDescent="0.3">
      <c r="A37" s="626" t="s">
        <v>338</v>
      </c>
      <c r="B37" s="627"/>
      <c r="C37" s="42" t="s">
        <v>370</v>
      </c>
    </row>
    <row r="38" spans="1:3" ht="24" customHeight="1" thickBot="1" x14ac:dyDescent="0.3">
      <c r="A38" s="626" t="s">
        <v>340</v>
      </c>
      <c r="B38" s="627"/>
      <c r="C38" s="42" t="s">
        <v>371</v>
      </c>
    </row>
    <row r="39" spans="1:3" ht="15.75" thickBot="1" x14ac:dyDescent="0.3">
      <c r="A39" s="626" t="s">
        <v>342</v>
      </c>
      <c r="B39" s="627"/>
      <c r="C39" s="42" t="s">
        <v>372</v>
      </c>
    </row>
    <row r="40" spans="1:3" ht="36.75" thickBot="1" x14ac:dyDescent="0.3">
      <c r="A40" s="626" t="s">
        <v>344</v>
      </c>
      <c r="B40" s="627"/>
      <c r="C40" s="42" t="s">
        <v>373</v>
      </c>
    </row>
    <row r="41" spans="1:3" ht="15.75" thickBot="1" x14ac:dyDescent="0.3">
      <c r="A41" s="628" t="s">
        <v>346</v>
      </c>
      <c r="B41" s="313" t="s">
        <v>347</v>
      </c>
      <c r="C41" s="42" t="s">
        <v>374</v>
      </c>
    </row>
    <row r="42" spans="1:3" ht="15.75" thickBot="1" x14ac:dyDescent="0.3">
      <c r="A42" s="629"/>
      <c r="B42" s="313" t="s">
        <v>348</v>
      </c>
      <c r="C42" s="42"/>
    </row>
    <row r="43" spans="1:3" ht="15.75" thickBot="1" x14ac:dyDescent="0.3">
      <c r="A43" s="626" t="s">
        <v>350</v>
      </c>
      <c r="B43" s="627"/>
      <c r="C43" s="42">
        <v>2019</v>
      </c>
    </row>
    <row r="44" spans="1:3" ht="24.75" thickBot="1" x14ac:dyDescent="0.3">
      <c r="A44" s="626" t="s">
        <v>352</v>
      </c>
      <c r="B44" s="627"/>
      <c r="C44" s="42" t="s">
        <v>375</v>
      </c>
    </row>
    <row r="45" spans="1:3" ht="15.75" thickBot="1" x14ac:dyDescent="0.3">
      <c r="A45" s="626" t="s">
        <v>354</v>
      </c>
      <c r="B45" s="627"/>
      <c r="C45" s="42" t="s">
        <v>355</v>
      </c>
    </row>
    <row r="46" spans="1:3" ht="27" customHeight="1" thickBot="1" x14ac:dyDescent="0.3">
      <c r="A46" s="626" t="s">
        <v>356</v>
      </c>
      <c r="B46" s="627"/>
      <c r="C46" s="43" t="s">
        <v>376</v>
      </c>
    </row>
    <row r="47" spans="1:3" x14ac:dyDescent="0.25">
      <c r="A47" s="636" t="s">
        <v>358</v>
      </c>
      <c r="B47" s="637"/>
      <c r="C47" s="44" t="s">
        <v>377</v>
      </c>
    </row>
    <row r="48" spans="1:3" x14ac:dyDescent="0.25">
      <c r="A48" s="638"/>
      <c r="B48" s="639"/>
      <c r="C48" s="44" t="s">
        <v>378</v>
      </c>
    </row>
    <row r="49" spans="1:3" ht="15.75" thickBot="1" x14ac:dyDescent="0.3">
      <c r="A49" s="640"/>
      <c r="B49" s="641"/>
      <c r="C49" s="42" t="s">
        <v>379</v>
      </c>
    </row>
    <row r="50" spans="1:3" ht="29.45" customHeight="1" thickBot="1" x14ac:dyDescent="0.3">
      <c r="A50" s="626" t="s">
        <v>362</v>
      </c>
      <c r="B50" s="627"/>
      <c r="C50" s="42" t="s">
        <v>380</v>
      </c>
    </row>
    <row r="51" spans="1:3" ht="36.75" thickBot="1" x14ac:dyDescent="0.3">
      <c r="A51" s="626" t="s">
        <v>364</v>
      </c>
      <c r="B51" s="627"/>
      <c r="C51" s="42" t="s">
        <v>381</v>
      </c>
    </row>
    <row r="52" spans="1:3" ht="63.75" customHeight="1" thickBot="1" x14ac:dyDescent="0.3">
      <c r="A52" s="622" t="s">
        <v>322</v>
      </c>
      <c r="B52" s="623"/>
      <c r="C52" s="623"/>
    </row>
    <row r="53" spans="1:3" ht="16.5" thickBot="1" x14ac:dyDescent="0.3">
      <c r="A53" s="74" t="s">
        <v>323</v>
      </c>
      <c r="B53" s="39" t="s">
        <v>324</v>
      </c>
      <c r="C53" s="40"/>
    </row>
    <row r="54" spans="1:3" ht="32.25" thickBot="1" x14ac:dyDescent="0.3">
      <c r="A54" s="75" t="s">
        <v>325</v>
      </c>
      <c r="B54" s="624" t="s">
        <v>326</v>
      </c>
      <c r="C54" s="625"/>
    </row>
    <row r="55" spans="1:3" ht="16.5" thickBot="1" x14ac:dyDescent="0.3">
      <c r="A55" s="74" t="s">
        <v>327</v>
      </c>
      <c r="B55" s="39" t="s">
        <v>328</v>
      </c>
      <c r="C55" s="40"/>
    </row>
    <row r="56" spans="1:3" ht="16.5" thickBot="1" x14ac:dyDescent="0.3">
      <c r="A56" s="74" t="s">
        <v>329</v>
      </c>
      <c r="B56" s="39" t="s">
        <v>330</v>
      </c>
      <c r="C56" s="41"/>
    </row>
    <row r="57" spans="1:3" x14ac:dyDescent="0.25">
      <c r="A57" s="78"/>
      <c r="B57" s="79"/>
      <c r="C57" s="79"/>
    </row>
    <row r="58" spans="1:3" x14ac:dyDescent="0.25">
      <c r="A58" s="632" t="s">
        <v>382</v>
      </c>
      <c r="B58" s="642"/>
      <c r="C58" s="642"/>
    </row>
    <row r="59" spans="1:3" ht="15.75" thickBot="1" x14ac:dyDescent="0.3">
      <c r="A59" s="634" t="s">
        <v>332</v>
      </c>
      <c r="B59" s="635"/>
      <c r="C59" s="635"/>
    </row>
    <row r="60" spans="1:3" ht="15.75" thickBot="1" x14ac:dyDescent="0.3">
      <c r="A60" s="630" t="s">
        <v>333</v>
      </c>
      <c r="B60" s="631"/>
      <c r="C60" s="73" t="s">
        <v>334</v>
      </c>
    </row>
    <row r="61" spans="1:3" ht="24.75" thickBot="1" x14ac:dyDescent="0.3">
      <c r="A61" s="626" t="s">
        <v>335</v>
      </c>
      <c r="B61" s="627"/>
      <c r="C61" s="42" t="s">
        <v>383</v>
      </c>
    </row>
    <row r="62" spans="1:3" ht="27" customHeight="1" thickBot="1" x14ac:dyDescent="0.3">
      <c r="A62" s="626" t="s">
        <v>336</v>
      </c>
      <c r="B62" s="627"/>
      <c r="C62" s="42" t="s">
        <v>384</v>
      </c>
    </row>
    <row r="63" spans="1:3" ht="24.75" thickBot="1" x14ac:dyDescent="0.3">
      <c r="A63" s="626" t="s">
        <v>338</v>
      </c>
      <c r="B63" s="627"/>
      <c r="C63" s="42" t="s">
        <v>385</v>
      </c>
    </row>
    <row r="64" spans="1:3" ht="15.75" thickBot="1" x14ac:dyDescent="0.3">
      <c r="A64" s="626" t="s">
        <v>340</v>
      </c>
      <c r="B64" s="627"/>
      <c r="C64" s="42" t="s">
        <v>386</v>
      </c>
    </row>
    <row r="65" spans="1:3" ht="15.75" thickBot="1" x14ac:dyDescent="0.3">
      <c r="A65" s="626" t="s">
        <v>342</v>
      </c>
      <c r="B65" s="627"/>
      <c r="C65" s="42" t="s">
        <v>387</v>
      </c>
    </row>
    <row r="66" spans="1:3" ht="24.75" thickBot="1" x14ac:dyDescent="0.3">
      <c r="A66" s="626" t="s">
        <v>344</v>
      </c>
      <c r="B66" s="627"/>
      <c r="C66" s="42" t="s">
        <v>388</v>
      </c>
    </row>
    <row r="67" spans="1:3" ht="15.75" thickBot="1" x14ac:dyDescent="0.3">
      <c r="A67" s="628" t="s">
        <v>346</v>
      </c>
      <c r="B67" s="313" t="s">
        <v>347</v>
      </c>
      <c r="C67" s="42"/>
    </row>
    <row r="68" spans="1:3" ht="36.75" thickBot="1" x14ac:dyDescent="0.3">
      <c r="A68" s="629"/>
      <c r="B68" s="313" t="s">
        <v>348</v>
      </c>
      <c r="C68" s="42" t="s">
        <v>389</v>
      </c>
    </row>
    <row r="69" spans="1:3" ht="15.75" thickBot="1" x14ac:dyDescent="0.3">
      <c r="A69" s="626" t="s">
        <v>350</v>
      </c>
      <c r="B69" s="627"/>
      <c r="C69" s="42">
        <v>0</v>
      </c>
    </row>
    <row r="70" spans="1:3" ht="15.75" thickBot="1" x14ac:dyDescent="0.3">
      <c r="A70" s="626" t="s">
        <v>352</v>
      </c>
      <c r="B70" s="627"/>
      <c r="C70" s="42" t="s">
        <v>390</v>
      </c>
    </row>
    <row r="71" spans="1:3" ht="15.75" thickBot="1" x14ac:dyDescent="0.3">
      <c r="A71" s="626" t="s">
        <v>354</v>
      </c>
      <c r="B71" s="627"/>
      <c r="C71" s="42" t="s">
        <v>355</v>
      </c>
    </row>
    <row r="72" spans="1:3" ht="24.75" thickBot="1" x14ac:dyDescent="0.3">
      <c r="A72" s="626" t="s">
        <v>356</v>
      </c>
      <c r="B72" s="627"/>
      <c r="C72" s="43" t="s">
        <v>391</v>
      </c>
    </row>
    <row r="73" spans="1:3" x14ac:dyDescent="0.25">
      <c r="A73" s="636" t="s">
        <v>358</v>
      </c>
      <c r="B73" s="637"/>
      <c r="C73" s="44" t="s">
        <v>392</v>
      </c>
    </row>
    <row r="74" spans="1:3" x14ac:dyDescent="0.25">
      <c r="A74" s="638"/>
      <c r="B74" s="639"/>
      <c r="C74" s="44" t="s">
        <v>360</v>
      </c>
    </row>
    <row r="75" spans="1:3" ht="15.75" thickBot="1" x14ac:dyDescent="0.3">
      <c r="A75" s="640"/>
      <c r="B75" s="641"/>
      <c r="C75" s="42" t="s">
        <v>379</v>
      </c>
    </row>
    <row r="76" spans="1:3" ht="63" customHeight="1" thickBot="1" x14ac:dyDescent="0.3">
      <c r="A76" s="626" t="s">
        <v>362</v>
      </c>
      <c r="B76" s="627"/>
      <c r="C76" s="42" t="s">
        <v>393</v>
      </c>
    </row>
    <row r="77" spans="1:3" ht="36.75" thickBot="1" x14ac:dyDescent="0.3">
      <c r="A77" s="626" t="s">
        <v>364</v>
      </c>
      <c r="B77" s="627"/>
      <c r="C77" s="42" t="s">
        <v>394</v>
      </c>
    </row>
    <row r="78" spans="1:3" ht="63.75" customHeight="1" thickBot="1" x14ac:dyDescent="0.3">
      <c r="A78" s="622" t="s">
        <v>322</v>
      </c>
      <c r="B78" s="623"/>
      <c r="C78" s="623"/>
    </row>
    <row r="79" spans="1:3" ht="16.5" thickBot="1" x14ac:dyDescent="0.3">
      <c r="A79" s="74" t="s">
        <v>323</v>
      </c>
      <c r="B79" s="39" t="s">
        <v>324</v>
      </c>
      <c r="C79" s="40"/>
    </row>
    <row r="80" spans="1:3" ht="32.25" thickBot="1" x14ac:dyDescent="0.3">
      <c r="A80" s="75" t="s">
        <v>325</v>
      </c>
      <c r="B80" s="624" t="s">
        <v>326</v>
      </c>
      <c r="C80" s="625"/>
    </row>
    <row r="81" spans="1:3" ht="16.5" thickBot="1" x14ac:dyDescent="0.3">
      <c r="A81" s="74" t="s">
        <v>327</v>
      </c>
      <c r="B81" s="39" t="s">
        <v>328</v>
      </c>
      <c r="C81" s="40"/>
    </row>
    <row r="82" spans="1:3" ht="16.5" thickBot="1" x14ac:dyDescent="0.3">
      <c r="A82" s="74" t="s">
        <v>329</v>
      </c>
      <c r="B82" s="39" t="s">
        <v>330</v>
      </c>
      <c r="C82" s="41"/>
    </row>
    <row r="83" spans="1:3" x14ac:dyDescent="0.25">
      <c r="A83" s="76"/>
      <c r="B83" s="77"/>
      <c r="C83" s="77"/>
    </row>
    <row r="84" spans="1:3" x14ac:dyDescent="0.25">
      <c r="A84" s="632" t="s">
        <v>395</v>
      </c>
      <c r="B84" s="642"/>
      <c r="C84" s="642"/>
    </row>
    <row r="85" spans="1:3" ht="15.75" thickBot="1" x14ac:dyDescent="0.3">
      <c r="A85" s="634" t="s">
        <v>332</v>
      </c>
      <c r="B85" s="635"/>
      <c r="C85" s="635"/>
    </row>
    <row r="86" spans="1:3" ht="15.75" thickBot="1" x14ac:dyDescent="0.3">
      <c r="A86" s="630" t="s">
        <v>333</v>
      </c>
      <c r="B86" s="631"/>
      <c r="C86" s="73" t="s">
        <v>334</v>
      </c>
    </row>
    <row r="87" spans="1:3" ht="24.75" thickBot="1" x14ac:dyDescent="0.3">
      <c r="A87" s="626" t="s">
        <v>335</v>
      </c>
      <c r="B87" s="627"/>
      <c r="C87" s="42" t="s">
        <v>396</v>
      </c>
    </row>
    <row r="88" spans="1:3" ht="24.75" thickBot="1" x14ac:dyDescent="0.3">
      <c r="A88" s="626" t="s">
        <v>336</v>
      </c>
      <c r="B88" s="627"/>
      <c r="C88" s="42" t="s">
        <v>396</v>
      </c>
    </row>
    <row r="89" spans="1:3" ht="24.75" thickBot="1" x14ac:dyDescent="0.3">
      <c r="A89" s="626" t="s">
        <v>338</v>
      </c>
      <c r="B89" s="627"/>
      <c r="C89" s="42" t="s">
        <v>397</v>
      </c>
    </row>
    <row r="90" spans="1:3" ht="24.75" thickBot="1" x14ac:dyDescent="0.3">
      <c r="A90" s="626" t="s">
        <v>340</v>
      </c>
      <c r="B90" s="627"/>
      <c r="C90" s="42" t="s">
        <v>398</v>
      </c>
    </row>
    <row r="91" spans="1:3" ht="15.75" thickBot="1" x14ac:dyDescent="0.3">
      <c r="A91" s="626" t="s">
        <v>342</v>
      </c>
      <c r="B91" s="627"/>
      <c r="C91" s="42" t="s">
        <v>387</v>
      </c>
    </row>
    <row r="92" spans="1:3" ht="24.75" thickBot="1" x14ac:dyDescent="0.3">
      <c r="A92" s="626" t="s">
        <v>344</v>
      </c>
      <c r="B92" s="627"/>
      <c r="C92" s="42" t="s">
        <v>399</v>
      </c>
    </row>
    <row r="93" spans="1:3" ht="15.75" thickBot="1" x14ac:dyDescent="0.3">
      <c r="A93" s="628" t="s">
        <v>346</v>
      </c>
      <c r="B93" s="313" t="s">
        <v>347</v>
      </c>
      <c r="C93" s="42"/>
    </row>
    <row r="94" spans="1:3" ht="24.75" thickBot="1" x14ac:dyDescent="0.3">
      <c r="A94" s="629"/>
      <c r="B94" s="313" t="s">
        <v>348</v>
      </c>
      <c r="C94" s="42" t="s">
        <v>400</v>
      </c>
    </row>
    <row r="95" spans="1:3" ht="15.75" thickBot="1" x14ac:dyDescent="0.3">
      <c r="A95" s="626" t="s">
        <v>350</v>
      </c>
      <c r="B95" s="627"/>
      <c r="C95" s="42">
        <v>0</v>
      </c>
    </row>
    <row r="96" spans="1:3" ht="24.75" thickBot="1" x14ac:dyDescent="0.3">
      <c r="A96" s="626" t="s">
        <v>352</v>
      </c>
      <c r="B96" s="627"/>
      <c r="C96" s="42" t="s">
        <v>401</v>
      </c>
    </row>
    <row r="97" spans="1:3" ht="15.75" thickBot="1" x14ac:dyDescent="0.3">
      <c r="A97" s="626" t="s">
        <v>354</v>
      </c>
      <c r="B97" s="627"/>
      <c r="C97" s="42" t="s">
        <v>355</v>
      </c>
    </row>
    <row r="98" spans="1:3" ht="36.75" thickBot="1" x14ac:dyDescent="0.3">
      <c r="A98" s="626" t="s">
        <v>356</v>
      </c>
      <c r="B98" s="627"/>
      <c r="C98" s="43" t="s">
        <v>402</v>
      </c>
    </row>
    <row r="99" spans="1:3" x14ac:dyDescent="0.25">
      <c r="A99" s="636" t="s">
        <v>358</v>
      </c>
      <c r="B99" s="637"/>
      <c r="C99" s="44" t="s">
        <v>377</v>
      </c>
    </row>
    <row r="100" spans="1:3" x14ac:dyDescent="0.25">
      <c r="A100" s="638"/>
      <c r="B100" s="639"/>
      <c r="C100" s="44" t="s">
        <v>360</v>
      </c>
    </row>
    <row r="101" spans="1:3" ht="15.75" thickBot="1" x14ac:dyDescent="0.3">
      <c r="A101" s="640"/>
      <c r="B101" s="641"/>
      <c r="C101" s="42" t="s">
        <v>361</v>
      </c>
    </row>
    <row r="102" spans="1:3" ht="68.45" customHeight="1" thickBot="1" x14ac:dyDescent="0.3">
      <c r="A102" s="626" t="s">
        <v>362</v>
      </c>
      <c r="B102" s="627"/>
      <c r="C102" s="42" t="s">
        <v>403</v>
      </c>
    </row>
    <row r="103" spans="1:3" ht="36.75" thickBot="1" x14ac:dyDescent="0.3">
      <c r="A103" s="626" t="s">
        <v>364</v>
      </c>
      <c r="B103" s="627"/>
      <c r="C103" s="42" t="s">
        <v>394</v>
      </c>
    </row>
    <row r="104" spans="1:3" ht="66.599999999999994" customHeight="1" thickBot="1" x14ac:dyDescent="0.3">
      <c r="A104" s="622" t="s">
        <v>322</v>
      </c>
      <c r="B104" s="623"/>
      <c r="C104" s="623"/>
    </row>
    <row r="105" spans="1:3" ht="16.5" thickBot="1" x14ac:dyDescent="0.3">
      <c r="A105" s="74" t="s">
        <v>323</v>
      </c>
      <c r="B105" s="39" t="s">
        <v>324</v>
      </c>
      <c r="C105" s="40"/>
    </row>
    <row r="106" spans="1:3" ht="32.25" thickBot="1" x14ac:dyDescent="0.3">
      <c r="A106" s="75" t="s">
        <v>325</v>
      </c>
      <c r="B106" s="624" t="s">
        <v>326</v>
      </c>
      <c r="C106" s="625"/>
    </row>
    <row r="107" spans="1:3" ht="16.5" thickBot="1" x14ac:dyDescent="0.3">
      <c r="A107" s="74" t="s">
        <v>327</v>
      </c>
      <c r="B107" s="39" t="s">
        <v>328</v>
      </c>
      <c r="C107" s="40"/>
    </row>
    <row r="108" spans="1:3" ht="16.5" thickBot="1" x14ac:dyDescent="0.3">
      <c r="A108" s="74" t="s">
        <v>329</v>
      </c>
      <c r="B108" s="39" t="s">
        <v>330</v>
      </c>
      <c r="C108" s="41"/>
    </row>
    <row r="109" spans="1:3" x14ac:dyDescent="0.25">
      <c r="A109" s="76"/>
      <c r="B109" s="77"/>
      <c r="C109" s="77"/>
    </row>
    <row r="110" spans="1:3" x14ac:dyDescent="0.25">
      <c r="A110" s="632" t="s">
        <v>404</v>
      </c>
      <c r="B110" s="642"/>
      <c r="C110" s="642"/>
    </row>
    <row r="111" spans="1:3" ht="15.75" thickBot="1" x14ac:dyDescent="0.3">
      <c r="A111" s="634" t="s">
        <v>332</v>
      </c>
      <c r="B111" s="635"/>
      <c r="C111" s="635"/>
    </row>
    <row r="112" spans="1:3" ht="15.75" thickBot="1" x14ac:dyDescent="0.3">
      <c r="A112" s="630" t="s">
        <v>333</v>
      </c>
      <c r="B112" s="631"/>
      <c r="C112" s="73" t="s">
        <v>334</v>
      </c>
    </row>
    <row r="113" spans="1:3" ht="24.75" thickBot="1" x14ac:dyDescent="0.3">
      <c r="A113" s="626" t="s">
        <v>335</v>
      </c>
      <c r="B113" s="627"/>
      <c r="C113" s="42" t="s">
        <v>405</v>
      </c>
    </row>
    <row r="114" spans="1:3" ht="24.75" thickBot="1" x14ac:dyDescent="0.3">
      <c r="A114" s="626" t="s">
        <v>336</v>
      </c>
      <c r="B114" s="627"/>
      <c r="C114" s="42" t="s">
        <v>406</v>
      </c>
    </row>
    <row r="115" spans="1:3" ht="48.75" thickBot="1" x14ac:dyDescent="0.3">
      <c r="A115" s="626" t="s">
        <v>338</v>
      </c>
      <c r="B115" s="627"/>
      <c r="C115" s="42" t="s">
        <v>407</v>
      </c>
    </row>
    <row r="116" spans="1:3" ht="15.75" thickBot="1" x14ac:dyDescent="0.3">
      <c r="A116" s="626" t="s">
        <v>340</v>
      </c>
      <c r="B116" s="627"/>
      <c r="C116" s="42" t="s">
        <v>408</v>
      </c>
    </row>
    <row r="117" spans="1:3" ht="15.75" thickBot="1" x14ac:dyDescent="0.3">
      <c r="A117" s="626" t="s">
        <v>342</v>
      </c>
      <c r="B117" s="627"/>
      <c r="C117" s="42" t="s">
        <v>387</v>
      </c>
    </row>
    <row r="118" spans="1:3" ht="48.75" thickBot="1" x14ac:dyDescent="0.3">
      <c r="A118" s="626" t="s">
        <v>344</v>
      </c>
      <c r="B118" s="627"/>
      <c r="C118" s="42" t="s">
        <v>409</v>
      </c>
    </row>
    <row r="119" spans="1:3" ht="15.75" thickBot="1" x14ac:dyDescent="0.3">
      <c r="A119" s="628" t="s">
        <v>346</v>
      </c>
      <c r="B119" s="313" t="s">
        <v>347</v>
      </c>
      <c r="C119" s="42"/>
    </row>
    <row r="120" spans="1:3" ht="24.75" thickBot="1" x14ac:dyDescent="0.3">
      <c r="A120" s="629"/>
      <c r="B120" s="313" t="s">
        <v>348</v>
      </c>
      <c r="C120" s="42" t="s">
        <v>410</v>
      </c>
    </row>
    <row r="121" spans="1:3" ht="15.75" thickBot="1" x14ac:dyDescent="0.3">
      <c r="A121" s="626" t="s">
        <v>350</v>
      </c>
      <c r="B121" s="627"/>
      <c r="C121" s="42">
        <v>0</v>
      </c>
    </row>
    <row r="122" spans="1:3" ht="24.75" thickBot="1" x14ac:dyDescent="0.3">
      <c r="A122" s="626" t="s">
        <v>352</v>
      </c>
      <c r="B122" s="627"/>
      <c r="C122" s="42" t="s">
        <v>411</v>
      </c>
    </row>
    <row r="123" spans="1:3" ht="15.75" thickBot="1" x14ac:dyDescent="0.3">
      <c r="A123" s="626" t="s">
        <v>354</v>
      </c>
      <c r="B123" s="627"/>
      <c r="C123" s="42" t="s">
        <v>355</v>
      </c>
    </row>
    <row r="124" spans="1:3" ht="36.75" thickBot="1" x14ac:dyDescent="0.3">
      <c r="A124" s="626" t="s">
        <v>356</v>
      </c>
      <c r="B124" s="627"/>
      <c r="C124" s="42" t="s">
        <v>412</v>
      </c>
    </row>
    <row r="125" spans="1:3" x14ac:dyDescent="0.25">
      <c r="A125" s="636" t="s">
        <v>358</v>
      </c>
      <c r="B125" s="637"/>
      <c r="C125" s="44" t="s">
        <v>392</v>
      </c>
    </row>
    <row r="126" spans="1:3" x14ac:dyDescent="0.25">
      <c r="A126" s="638"/>
      <c r="B126" s="639"/>
      <c r="C126" s="44" t="s">
        <v>360</v>
      </c>
    </row>
    <row r="127" spans="1:3" ht="15.75" thickBot="1" x14ac:dyDescent="0.3">
      <c r="A127" s="640"/>
      <c r="B127" s="641"/>
      <c r="C127" s="42" t="s">
        <v>379</v>
      </c>
    </row>
    <row r="128" spans="1:3" ht="63.75" customHeight="1" thickBot="1" x14ac:dyDescent="0.3">
      <c r="A128" s="626" t="s">
        <v>362</v>
      </c>
      <c r="B128" s="627"/>
      <c r="C128" s="42" t="s">
        <v>413</v>
      </c>
    </row>
    <row r="129" spans="1:3" ht="36.75" thickBot="1" x14ac:dyDescent="0.3">
      <c r="A129" s="626" t="s">
        <v>364</v>
      </c>
      <c r="B129" s="627"/>
      <c r="C129" s="42" t="s">
        <v>414</v>
      </c>
    </row>
    <row r="130" spans="1:3" ht="65.45" customHeight="1" thickBot="1" x14ac:dyDescent="0.3">
      <c r="A130" s="622" t="s">
        <v>322</v>
      </c>
      <c r="B130" s="623"/>
      <c r="C130" s="623"/>
    </row>
    <row r="131" spans="1:3" ht="16.5" thickBot="1" x14ac:dyDescent="0.3">
      <c r="A131" s="74" t="s">
        <v>323</v>
      </c>
      <c r="B131" s="39" t="s">
        <v>324</v>
      </c>
      <c r="C131" s="40"/>
    </row>
    <row r="132" spans="1:3" ht="32.25" thickBot="1" x14ac:dyDescent="0.3">
      <c r="A132" s="75" t="s">
        <v>325</v>
      </c>
      <c r="B132" s="624" t="s">
        <v>326</v>
      </c>
      <c r="C132" s="625"/>
    </row>
    <row r="133" spans="1:3" ht="16.5" thickBot="1" x14ac:dyDescent="0.3">
      <c r="A133" s="74" t="s">
        <v>327</v>
      </c>
      <c r="B133" s="39" t="s">
        <v>328</v>
      </c>
      <c r="C133" s="40"/>
    </row>
    <row r="134" spans="1:3" ht="16.5" thickBot="1" x14ac:dyDescent="0.3">
      <c r="A134" s="74" t="s">
        <v>329</v>
      </c>
      <c r="B134" s="39" t="s">
        <v>330</v>
      </c>
      <c r="C134" s="41"/>
    </row>
    <row r="135" spans="1:3" x14ac:dyDescent="0.25">
      <c r="A135" s="76"/>
      <c r="B135" s="77"/>
      <c r="C135" s="77"/>
    </row>
    <row r="136" spans="1:3" x14ac:dyDescent="0.25">
      <c r="A136" s="632" t="s">
        <v>415</v>
      </c>
      <c r="B136" s="642"/>
      <c r="C136" s="642"/>
    </row>
    <row r="137" spans="1:3" ht="28.15" customHeight="1" thickBot="1" x14ac:dyDescent="0.3">
      <c r="A137" s="634" t="s">
        <v>332</v>
      </c>
      <c r="B137" s="635"/>
      <c r="C137" s="635"/>
    </row>
    <row r="138" spans="1:3" ht="36.75" customHeight="1" thickBot="1" x14ac:dyDescent="0.3">
      <c r="A138" s="630" t="s">
        <v>333</v>
      </c>
      <c r="B138" s="631"/>
      <c r="C138" s="73" t="s">
        <v>334</v>
      </c>
    </row>
    <row r="139" spans="1:3" ht="15.75" thickBot="1" x14ac:dyDescent="0.3">
      <c r="A139" s="626" t="s">
        <v>335</v>
      </c>
      <c r="B139" s="627"/>
      <c r="C139" s="42" t="s">
        <v>416</v>
      </c>
    </row>
    <row r="140" spans="1:3" ht="24.75" thickBot="1" x14ac:dyDescent="0.3">
      <c r="A140" s="626" t="s">
        <v>336</v>
      </c>
      <c r="B140" s="627"/>
      <c r="C140" s="42" t="s">
        <v>417</v>
      </c>
    </row>
    <row r="141" spans="1:3" ht="36.75" thickBot="1" x14ac:dyDescent="0.3">
      <c r="A141" s="626" t="s">
        <v>338</v>
      </c>
      <c r="B141" s="627"/>
      <c r="C141" s="42" t="s">
        <v>418</v>
      </c>
    </row>
    <row r="142" spans="1:3" ht="30.2" customHeight="1" thickBot="1" x14ac:dyDescent="0.3">
      <c r="A142" s="626" t="s">
        <v>340</v>
      </c>
      <c r="B142" s="627"/>
      <c r="C142" s="42" t="s">
        <v>419</v>
      </c>
    </row>
    <row r="143" spans="1:3" ht="15.75" thickBot="1" x14ac:dyDescent="0.3">
      <c r="A143" s="626" t="s">
        <v>342</v>
      </c>
      <c r="B143" s="627"/>
      <c r="C143" s="42" t="s">
        <v>387</v>
      </c>
    </row>
    <row r="144" spans="1:3" ht="36.75" thickBot="1" x14ac:dyDescent="0.3">
      <c r="A144" s="626" t="s">
        <v>344</v>
      </c>
      <c r="B144" s="627"/>
      <c r="C144" s="42" t="s">
        <v>420</v>
      </c>
    </row>
    <row r="145" spans="1:3" ht="15.75" thickBot="1" x14ac:dyDescent="0.3">
      <c r="A145" s="628" t="s">
        <v>346</v>
      </c>
      <c r="B145" s="313" t="s">
        <v>347</v>
      </c>
      <c r="C145" s="42"/>
    </row>
    <row r="146" spans="1:3" ht="24.75" thickBot="1" x14ac:dyDescent="0.3">
      <c r="A146" s="629"/>
      <c r="B146" s="313" t="s">
        <v>348</v>
      </c>
      <c r="C146" s="42" t="s">
        <v>421</v>
      </c>
    </row>
    <row r="147" spans="1:3" ht="15.75" thickBot="1" x14ac:dyDescent="0.3">
      <c r="A147" s="626" t="s">
        <v>350</v>
      </c>
      <c r="B147" s="627"/>
      <c r="C147" s="42">
        <v>0</v>
      </c>
    </row>
    <row r="148" spans="1:3" ht="24.75" thickBot="1" x14ac:dyDescent="0.3">
      <c r="A148" s="626" t="s">
        <v>352</v>
      </c>
      <c r="B148" s="627"/>
      <c r="C148" s="42" t="s">
        <v>422</v>
      </c>
    </row>
    <row r="149" spans="1:3" ht="15.75" thickBot="1" x14ac:dyDescent="0.3">
      <c r="A149" s="626" t="s">
        <v>354</v>
      </c>
      <c r="B149" s="627"/>
      <c r="C149" s="42" t="s">
        <v>355</v>
      </c>
    </row>
    <row r="150" spans="1:3" ht="36.75" thickBot="1" x14ac:dyDescent="0.3">
      <c r="A150" s="626" t="s">
        <v>356</v>
      </c>
      <c r="B150" s="627"/>
      <c r="C150" s="43" t="s">
        <v>423</v>
      </c>
    </row>
    <row r="151" spans="1:3" x14ac:dyDescent="0.25">
      <c r="A151" s="636" t="s">
        <v>358</v>
      </c>
      <c r="B151" s="637"/>
      <c r="C151" s="44" t="s">
        <v>377</v>
      </c>
    </row>
    <row r="152" spans="1:3" x14ac:dyDescent="0.25">
      <c r="A152" s="638"/>
      <c r="B152" s="639"/>
      <c r="C152" s="44" t="s">
        <v>360</v>
      </c>
    </row>
    <row r="153" spans="1:3" ht="15.75" thickBot="1" x14ac:dyDescent="0.3">
      <c r="A153" s="640"/>
      <c r="B153" s="641"/>
      <c r="C153" s="42" t="s">
        <v>361</v>
      </c>
    </row>
    <row r="154" spans="1:3" ht="65.45" customHeight="1" thickBot="1" x14ac:dyDescent="0.3">
      <c r="A154" s="626" t="s">
        <v>362</v>
      </c>
      <c r="B154" s="627"/>
      <c r="C154" s="42" t="s">
        <v>424</v>
      </c>
    </row>
    <row r="155" spans="1:3" ht="36.75" thickBot="1" x14ac:dyDescent="0.3">
      <c r="A155" s="626" t="s">
        <v>364</v>
      </c>
      <c r="B155" s="627"/>
      <c r="C155" s="42" t="s">
        <v>414</v>
      </c>
    </row>
    <row r="156" spans="1:3" ht="57.6" customHeight="1" thickBot="1" x14ac:dyDescent="0.3">
      <c r="A156" s="622" t="s">
        <v>322</v>
      </c>
      <c r="B156" s="623"/>
      <c r="C156" s="623"/>
    </row>
    <row r="157" spans="1:3" ht="16.5" thickBot="1" x14ac:dyDescent="0.3">
      <c r="A157" s="74" t="s">
        <v>323</v>
      </c>
      <c r="B157" s="39" t="s">
        <v>324</v>
      </c>
      <c r="C157" s="40"/>
    </row>
    <row r="158" spans="1:3" ht="32.25" thickBot="1" x14ac:dyDescent="0.3">
      <c r="A158" s="75" t="s">
        <v>325</v>
      </c>
      <c r="B158" s="624" t="s">
        <v>326</v>
      </c>
      <c r="C158" s="625"/>
    </row>
    <row r="159" spans="1:3" ht="16.5" thickBot="1" x14ac:dyDescent="0.3">
      <c r="A159" s="74" t="s">
        <v>327</v>
      </c>
      <c r="B159" s="39" t="s">
        <v>328</v>
      </c>
      <c r="C159" s="40"/>
    </row>
    <row r="160" spans="1:3" ht="16.5" thickBot="1" x14ac:dyDescent="0.3">
      <c r="A160" s="74" t="s">
        <v>329</v>
      </c>
      <c r="B160" s="39" t="s">
        <v>330</v>
      </c>
      <c r="C160" s="41"/>
    </row>
    <row r="161" spans="1:3" x14ac:dyDescent="0.25">
      <c r="A161" s="76"/>
      <c r="B161" s="77"/>
      <c r="C161" s="77"/>
    </row>
    <row r="162" spans="1:3" x14ac:dyDescent="0.25">
      <c r="A162" s="632" t="s">
        <v>425</v>
      </c>
      <c r="B162" s="642"/>
      <c r="C162" s="642"/>
    </row>
    <row r="163" spans="1:3" ht="34.15" customHeight="1" thickBot="1" x14ac:dyDescent="0.3">
      <c r="A163" s="634" t="s">
        <v>332</v>
      </c>
      <c r="B163" s="635"/>
      <c r="C163" s="635"/>
    </row>
    <row r="164" spans="1:3" ht="15.75" thickBot="1" x14ac:dyDescent="0.3">
      <c r="A164" s="630" t="s">
        <v>333</v>
      </c>
      <c r="B164" s="631"/>
      <c r="C164" s="73" t="s">
        <v>334</v>
      </c>
    </row>
    <row r="165" spans="1:3" ht="24.75" thickBot="1" x14ac:dyDescent="0.3">
      <c r="A165" s="626" t="s">
        <v>335</v>
      </c>
      <c r="B165" s="627"/>
      <c r="C165" s="42" t="s">
        <v>426</v>
      </c>
    </row>
    <row r="166" spans="1:3" ht="34.15" customHeight="1" thickBot="1" x14ac:dyDescent="0.3">
      <c r="A166" s="626" t="s">
        <v>336</v>
      </c>
      <c r="B166" s="627"/>
      <c r="C166" s="42" t="s">
        <v>427</v>
      </c>
    </row>
    <row r="167" spans="1:3" ht="60.75" thickBot="1" x14ac:dyDescent="0.3">
      <c r="A167" s="626" t="s">
        <v>338</v>
      </c>
      <c r="B167" s="627"/>
      <c r="C167" s="42" t="s">
        <v>428</v>
      </c>
    </row>
    <row r="168" spans="1:3" ht="15.75" thickBot="1" x14ac:dyDescent="0.3">
      <c r="A168" s="626" t="s">
        <v>340</v>
      </c>
      <c r="B168" s="627"/>
      <c r="C168" s="42" t="s">
        <v>429</v>
      </c>
    </row>
    <row r="169" spans="1:3" ht="15.75" thickBot="1" x14ac:dyDescent="0.3">
      <c r="A169" s="626" t="s">
        <v>342</v>
      </c>
      <c r="B169" s="627"/>
      <c r="C169" s="42" t="s">
        <v>387</v>
      </c>
    </row>
    <row r="170" spans="1:3" ht="24.75" thickBot="1" x14ac:dyDescent="0.3">
      <c r="A170" s="626" t="s">
        <v>344</v>
      </c>
      <c r="B170" s="627"/>
      <c r="C170" s="42" t="s">
        <v>430</v>
      </c>
    </row>
    <row r="171" spans="1:3" ht="15.75" thickBot="1" x14ac:dyDescent="0.3">
      <c r="A171" s="628" t="s">
        <v>346</v>
      </c>
      <c r="B171" s="313" t="s">
        <v>347</v>
      </c>
      <c r="C171" s="42"/>
    </row>
    <row r="172" spans="1:3" ht="36.75" thickBot="1" x14ac:dyDescent="0.3">
      <c r="A172" s="629"/>
      <c r="B172" s="313" t="s">
        <v>348</v>
      </c>
      <c r="C172" s="42" t="s">
        <v>431</v>
      </c>
    </row>
    <row r="173" spans="1:3" ht="15.75" thickBot="1" x14ac:dyDescent="0.3">
      <c r="A173" s="626" t="s">
        <v>350</v>
      </c>
      <c r="B173" s="627"/>
      <c r="C173" s="42">
        <v>0</v>
      </c>
    </row>
    <row r="174" spans="1:3" ht="36.75" thickBot="1" x14ac:dyDescent="0.3">
      <c r="A174" s="626" t="s">
        <v>352</v>
      </c>
      <c r="B174" s="627"/>
      <c r="C174" s="42" t="s">
        <v>432</v>
      </c>
    </row>
    <row r="175" spans="1:3" ht="15.75" thickBot="1" x14ac:dyDescent="0.3">
      <c r="A175" s="626" t="s">
        <v>354</v>
      </c>
      <c r="B175" s="627"/>
      <c r="C175" s="42" t="s">
        <v>433</v>
      </c>
    </row>
    <row r="176" spans="1:3" ht="36.75" thickBot="1" x14ac:dyDescent="0.3">
      <c r="A176" s="626" t="s">
        <v>356</v>
      </c>
      <c r="B176" s="627"/>
      <c r="C176" s="43" t="s">
        <v>434</v>
      </c>
    </row>
    <row r="177" spans="1:3" x14ac:dyDescent="0.25">
      <c r="A177" s="636" t="s">
        <v>358</v>
      </c>
      <c r="B177" s="637"/>
      <c r="C177" s="44" t="s">
        <v>377</v>
      </c>
    </row>
    <row r="178" spans="1:3" x14ac:dyDescent="0.25">
      <c r="A178" s="638"/>
      <c r="B178" s="639"/>
      <c r="C178" s="44" t="s">
        <v>360</v>
      </c>
    </row>
    <row r="179" spans="1:3" ht="15.75" thickBot="1" x14ac:dyDescent="0.3">
      <c r="A179" s="640"/>
      <c r="B179" s="641"/>
      <c r="C179" s="42" t="s">
        <v>361</v>
      </c>
    </row>
    <row r="180" spans="1:3" ht="36.75" thickBot="1" x14ac:dyDescent="0.3">
      <c r="A180" s="626" t="s">
        <v>362</v>
      </c>
      <c r="B180" s="627"/>
      <c r="C180" s="42" t="s">
        <v>435</v>
      </c>
    </row>
    <row r="181" spans="1:3" ht="36.75" thickBot="1" x14ac:dyDescent="0.3">
      <c r="A181" s="626" t="s">
        <v>364</v>
      </c>
      <c r="B181" s="627"/>
      <c r="C181" s="42" t="s">
        <v>414</v>
      </c>
    </row>
  </sheetData>
  <mergeCells count="133">
    <mergeCell ref="A174:B174"/>
    <mergeCell ref="A175:B175"/>
    <mergeCell ref="A176:B176"/>
    <mergeCell ref="A177:B179"/>
    <mergeCell ref="A180:B180"/>
    <mergeCell ref="A181:B181"/>
    <mergeCell ref="A167:B167"/>
    <mergeCell ref="A168:B168"/>
    <mergeCell ref="A169:B169"/>
    <mergeCell ref="A170:B170"/>
    <mergeCell ref="A171:A172"/>
    <mergeCell ref="A173:B173"/>
    <mergeCell ref="A155:B155"/>
    <mergeCell ref="A162:C162"/>
    <mergeCell ref="A163:C163"/>
    <mergeCell ref="A164:B164"/>
    <mergeCell ref="A165:B165"/>
    <mergeCell ref="A166:B166"/>
    <mergeCell ref="A147:B147"/>
    <mergeCell ref="A148:B148"/>
    <mergeCell ref="A149:B149"/>
    <mergeCell ref="A150:B150"/>
    <mergeCell ref="A151:B153"/>
    <mergeCell ref="A154:B154"/>
    <mergeCell ref="A156:C156"/>
    <mergeCell ref="B158:C158"/>
    <mergeCell ref="A140:B140"/>
    <mergeCell ref="A141:B141"/>
    <mergeCell ref="A142:B142"/>
    <mergeCell ref="A143:B143"/>
    <mergeCell ref="A144:B144"/>
    <mergeCell ref="A145:A146"/>
    <mergeCell ref="A128:B128"/>
    <mergeCell ref="A129:B129"/>
    <mergeCell ref="A136:C136"/>
    <mergeCell ref="A137:C137"/>
    <mergeCell ref="A138:B138"/>
    <mergeCell ref="A139:B139"/>
    <mergeCell ref="A130:C130"/>
    <mergeCell ref="B132:C132"/>
    <mergeCell ref="A119:A120"/>
    <mergeCell ref="A121:B121"/>
    <mergeCell ref="A122:B122"/>
    <mergeCell ref="A123:B123"/>
    <mergeCell ref="A124:B124"/>
    <mergeCell ref="A125:B127"/>
    <mergeCell ref="A113:B113"/>
    <mergeCell ref="A114:B114"/>
    <mergeCell ref="A115:B115"/>
    <mergeCell ref="A116:B116"/>
    <mergeCell ref="A117:B117"/>
    <mergeCell ref="A118:B118"/>
    <mergeCell ref="A99:B101"/>
    <mergeCell ref="A102:B102"/>
    <mergeCell ref="A103:B103"/>
    <mergeCell ref="A110:C110"/>
    <mergeCell ref="A111:C111"/>
    <mergeCell ref="A112:B112"/>
    <mergeCell ref="A92:B92"/>
    <mergeCell ref="A93:A94"/>
    <mergeCell ref="A95:B95"/>
    <mergeCell ref="A96:B96"/>
    <mergeCell ref="A97:B97"/>
    <mergeCell ref="A98:B98"/>
    <mergeCell ref="A104:C104"/>
    <mergeCell ref="B106:C106"/>
    <mergeCell ref="A86:B86"/>
    <mergeCell ref="A87:B87"/>
    <mergeCell ref="A88:B88"/>
    <mergeCell ref="A89:B89"/>
    <mergeCell ref="A90:B90"/>
    <mergeCell ref="A91:B91"/>
    <mergeCell ref="A72:B72"/>
    <mergeCell ref="A73:B75"/>
    <mergeCell ref="A76:B76"/>
    <mergeCell ref="A77:B77"/>
    <mergeCell ref="A84:C84"/>
    <mergeCell ref="A85:C85"/>
    <mergeCell ref="A78:C78"/>
    <mergeCell ref="B80:C80"/>
    <mergeCell ref="A65:B65"/>
    <mergeCell ref="A66:B66"/>
    <mergeCell ref="A67:A68"/>
    <mergeCell ref="A69:B69"/>
    <mergeCell ref="A70:B70"/>
    <mergeCell ref="A71:B71"/>
    <mergeCell ref="A59:C59"/>
    <mergeCell ref="A60:B60"/>
    <mergeCell ref="A61:B61"/>
    <mergeCell ref="A62:B62"/>
    <mergeCell ref="A63:B63"/>
    <mergeCell ref="A64:B64"/>
    <mergeCell ref="A45:B45"/>
    <mergeCell ref="A46:B46"/>
    <mergeCell ref="A47:B49"/>
    <mergeCell ref="A50:B50"/>
    <mergeCell ref="A51:B51"/>
    <mergeCell ref="A58:C58"/>
    <mergeCell ref="A38:B38"/>
    <mergeCell ref="A39:B39"/>
    <mergeCell ref="A40:B40"/>
    <mergeCell ref="A41:A42"/>
    <mergeCell ref="A43:B43"/>
    <mergeCell ref="A44:B44"/>
    <mergeCell ref="A52:C52"/>
    <mergeCell ref="B54:C54"/>
    <mergeCell ref="A37:B37"/>
    <mergeCell ref="A18:B18"/>
    <mergeCell ref="A19:B19"/>
    <mergeCell ref="A20:B20"/>
    <mergeCell ref="A21:B23"/>
    <mergeCell ref="A24:B24"/>
    <mergeCell ref="A25:B25"/>
    <mergeCell ref="A26:C26"/>
    <mergeCell ref="B28:C28"/>
    <mergeCell ref="A17:B17"/>
    <mergeCell ref="A8:B8"/>
    <mergeCell ref="A9:B9"/>
    <mergeCell ref="A10:B10"/>
    <mergeCell ref="A32:C32"/>
    <mergeCell ref="A33:C33"/>
    <mergeCell ref="A34:B34"/>
    <mergeCell ref="A35:B35"/>
    <mergeCell ref="A36:B36"/>
    <mergeCell ref="A6:C6"/>
    <mergeCell ref="A7:C7"/>
    <mergeCell ref="A1:C1"/>
    <mergeCell ref="B3:C3"/>
    <mergeCell ref="A11:B11"/>
    <mergeCell ref="A12:B12"/>
    <mergeCell ref="A13:B13"/>
    <mergeCell ref="A14:B14"/>
    <mergeCell ref="A15:A16"/>
  </mergeCells>
  <pageMargins left="1" right="1" top="1" bottom="1" header="0.5" footer="0.5"/>
  <pageSetup scale="69" fitToHeight="0" orientation="portrait" r:id="rId1"/>
  <rowBreaks count="6" manualBreakCount="6">
    <brk id="25" max="16383" man="1"/>
    <brk id="51" max="16383" man="1"/>
    <brk id="77" max="16383" man="1"/>
    <brk id="103" max="16383" man="1"/>
    <brk id="129" max="16383" man="1"/>
    <brk id="15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750A4-F69C-4E4F-85C4-AB1D6CA94BF0}">
  <dimension ref="A5:S163"/>
  <sheetViews>
    <sheetView topLeftCell="A132" workbookViewId="0">
      <selection activeCell="F148" sqref="F148"/>
    </sheetView>
  </sheetViews>
  <sheetFormatPr baseColWidth="10" defaultColWidth="11.42578125" defaultRowHeight="15" x14ac:dyDescent="0.25"/>
  <cols>
    <col min="1" max="1" width="28.140625" customWidth="1"/>
    <col min="2" max="2" width="25.42578125" customWidth="1"/>
    <col min="3" max="3" width="17.42578125" customWidth="1"/>
    <col min="14" max="14" width="17.5703125" customWidth="1"/>
  </cols>
  <sheetData>
    <row r="5" spans="1:3" x14ac:dyDescent="0.25">
      <c r="A5" s="13" t="s">
        <v>436</v>
      </c>
      <c r="B5" s="13"/>
      <c r="C5" s="13"/>
    </row>
    <row r="6" spans="1:3" x14ac:dyDescent="0.25">
      <c r="A6" s="45">
        <v>183694068.65000001</v>
      </c>
      <c r="B6" s="13"/>
      <c r="C6" s="13"/>
    </row>
    <row r="7" spans="1:3" x14ac:dyDescent="0.25">
      <c r="A7" s="45">
        <f>+A6*0.65</f>
        <v>119401144.6225</v>
      </c>
      <c r="B7" s="13"/>
      <c r="C7" s="13"/>
    </row>
    <row r="8" spans="1:3" x14ac:dyDescent="0.25">
      <c r="A8" s="45">
        <f>+A6*0.35</f>
        <v>64292924.027499996</v>
      </c>
      <c r="B8" s="13"/>
      <c r="C8" s="13"/>
    </row>
    <row r="10" spans="1:3" x14ac:dyDescent="0.25">
      <c r="A10" s="96">
        <v>14849303.9</v>
      </c>
      <c r="B10" s="45">
        <f>+A10*0.65</f>
        <v>9652047.5350000001</v>
      </c>
      <c r="C10" s="45">
        <f>+A10*0.35</f>
        <v>5197256.3650000002</v>
      </c>
    </row>
    <row r="11" spans="1:3" x14ac:dyDescent="0.25">
      <c r="A11" s="96">
        <v>15596820.74</v>
      </c>
      <c r="B11" s="45">
        <f>+A11*0.65</f>
        <v>10137933.481000001</v>
      </c>
      <c r="C11" s="45">
        <f>+A11*0.35</f>
        <v>5458887.2589999996</v>
      </c>
    </row>
    <row r="14" spans="1:3" x14ac:dyDescent="0.25">
      <c r="A14" s="13" t="s">
        <v>437</v>
      </c>
      <c r="B14" s="13"/>
      <c r="C14" s="13"/>
    </row>
    <row r="16" spans="1:3" x14ac:dyDescent="0.25">
      <c r="A16" s="45">
        <v>8031120.75</v>
      </c>
      <c r="B16" s="45">
        <f>+A16/2</f>
        <v>4015560.375</v>
      </c>
      <c r="C16" s="13"/>
    </row>
    <row r="17" spans="1:2" x14ac:dyDescent="0.25">
      <c r="A17" s="45">
        <v>12387847.800000001</v>
      </c>
      <c r="B17" s="45">
        <f>+A17/2</f>
        <v>6193923.9000000004</v>
      </c>
    </row>
    <row r="23" spans="1:2" x14ac:dyDescent="0.25">
      <c r="A23" s="95">
        <v>3303586145.8899999</v>
      </c>
      <c r="B23" s="13"/>
    </row>
    <row r="24" spans="1:2" x14ac:dyDescent="0.25">
      <c r="A24" s="95">
        <v>341078200</v>
      </c>
      <c r="B24" s="13"/>
    </row>
    <row r="25" spans="1:2" x14ac:dyDescent="0.25">
      <c r="A25" s="95">
        <f>SUM(A23:A24)</f>
        <v>3644664345.8899999</v>
      </c>
      <c r="B25" s="13"/>
    </row>
    <row r="27" spans="1:2" x14ac:dyDescent="0.25">
      <c r="A27" s="95">
        <v>4081280464.4699998</v>
      </c>
      <c r="B27" s="13"/>
    </row>
    <row r="28" spans="1:2" x14ac:dyDescent="0.25">
      <c r="A28" s="95">
        <f>+A27-A25</f>
        <v>436616118.57999992</v>
      </c>
      <c r="B28" s="13"/>
    </row>
    <row r="30" spans="1:2" x14ac:dyDescent="0.25">
      <c r="A30" s="95">
        <f>+A28-'MAPP IFAM 2020 PROG. I'!AA37</f>
        <v>29985865.379999936</v>
      </c>
      <c r="B30" s="13"/>
    </row>
    <row r="33" spans="1:19" x14ac:dyDescent="0.25">
      <c r="A33" s="95">
        <v>131847785.31</v>
      </c>
      <c r="B33" s="13"/>
      <c r="C33" s="13"/>
      <c r="D33" s="13"/>
      <c r="E33" s="13"/>
      <c r="F33" s="13"/>
      <c r="G33" s="13"/>
      <c r="H33" s="13"/>
      <c r="I33" s="13"/>
      <c r="J33" s="13"/>
      <c r="K33" s="13"/>
      <c r="L33" s="13"/>
      <c r="M33" s="13"/>
      <c r="N33" s="13"/>
      <c r="O33" s="13"/>
      <c r="P33" s="13"/>
      <c r="Q33" s="13"/>
      <c r="R33" s="13"/>
      <c r="S33" s="13"/>
    </row>
    <row r="34" spans="1:19" x14ac:dyDescent="0.25">
      <c r="A34" s="95">
        <v>208353273.56999999</v>
      </c>
      <c r="B34" s="13"/>
      <c r="C34" s="13"/>
      <c r="D34" s="13"/>
      <c r="E34" s="13"/>
      <c r="F34" s="13"/>
      <c r="G34" s="13"/>
      <c r="H34" s="13"/>
      <c r="I34" s="13"/>
      <c r="J34" s="13"/>
      <c r="K34" s="13"/>
      <c r="L34" s="13"/>
      <c r="M34" s="13"/>
      <c r="N34" s="13"/>
      <c r="O34" s="13"/>
      <c r="P34" s="13"/>
      <c r="Q34" s="13"/>
      <c r="R34" s="13"/>
      <c r="S34" s="13"/>
    </row>
    <row r="35" spans="1:19" x14ac:dyDescent="0.25">
      <c r="A35" s="95">
        <f>+A34-A33</f>
        <v>76505488.25999999</v>
      </c>
      <c r="B35" s="13"/>
      <c r="C35" s="13"/>
      <c r="D35" s="13"/>
      <c r="E35" s="13"/>
      <c r="F35" s="13"/>
      <c r="G35" s="13"/>
      <c r="H35" s="13"/>
      <c r="I35" s="13"/>
      <c r="J35" s="13"/>
      <c r="K35" s="13"/>
      <c r="L35" s="13"/>
      <c r="M35" s="13"/>
      <c r="N35" s="13"/>
      <c r="O35" s="13"/>
      <c r="P35" s="13"/>
      <c r="Q35" s="13"/>
      <c r="R35" s="13"/>
      <c r="S35" s="13"/>
    </row>
    <row r="36" spans="1:19" s="28" customFormat="1" ht="13.7" customHeight="1" x14ac:dyDescent="0.25">
      <c r="B36" s="105" t="s">
        <v>438</v>
      </c>
      <c r="C36" s="105" t="s">
        <v>334</v>
      </c>
      <c r="D36" s="645" t="s">
        <v>439</v>
      </c>
      <c r="E36" s="645" t="s">
        <v>440</v>
      </c>
      <c r="F36" s="645"/>
      <c r="G36" s="645"/>
      <c r="H36" s="645" t="s">
        <v>441</v>
      </c>
      <c r="I36" s="645"/>
      <c r="J36" s="645" t="s">
        <v>442</v>
      </c>
      <c r="K36" s="645"/>
      <c r="L36" s="645" t="s">
        <v>443</v>
      </c>
      <c r="M36" s="645"/>
      <c r="N36" s="645" t="s">
        <v>444</v>
      </c>
      <c r="P36" s="315" t="s">
        <v>445</v>
      </c>
      <c r="Q36" s="645" t="s">
        <v>446</v>
      </c>
      <c r="R36" s="645"/>
      <c r="S36" s="106" t="s">
        <v>447</v>
      </c>
    </row>
    <row r="37" spans="1:19" s="28" customFormat="1" ht="11.25" customHeight="1" x14ac:dyDescent="0.25">
      <c r="D37" s="645"/>
      <c r="E37" s="645"/>
      <c r="F37" s="645"/>
      <c r="G37" s="645"/>
      <c r="H37" s="645"/>
      <c r="I37" s="645"/>
      <c r="J37" s="645"/>
      <c r="K37" s="645"/>
      <c r="L37" s="645"/>
      <c r="M37" s="645"/>
      <c r="N37" s="645"/>
    </row>
    <row r="39" spans="1:19" x14ac:dyDescent="0.25">
      <c r="A39" s="104" t="s">
        <v>448</v>
      </c>
      <c r="B39" s="643" t="s">
        <v>143</v>
      </c>
      <c r="C39" s="314">
        <v>1374964097.3599999</v>
      </c>
      <c r="D39" s="644">
        <v>-10000000</v>
      </c>
      <c r="E39" s="644"/>
      <c r="F39" s="644"/>
      <c r="G39" s="644">
        <v>1364964097.3599999</v>
      </c>
      <c r="H39" s="644"/>
      <c r="I39" s="644">
        <v>193349680.65000001</v>
      </c>
      <c r="J39" s="644"/>
      <c r="K39" s="644">
        <v>78468078.439999998</v>
      </c>
      <c r="L39" s="644"/>
      <c r="M39" s="644">
        <v>271817759.08999997</v>
      </c>
      <c r="N39" s="644"/>
      <c r="O39" s="314">
        <v>115184438.2</v>
      </c>
      <c r="P39" s="644">
        <v>977961900.07000005</v>
      </c>
      <c r="Q39" s="644"/>
      <c r="R39" s="13"/>
      <c r="S39" s="13"/>
    </row>
    <row r="40" spans="1:19" x14ac:dyDescent="0.25">
      <c r="A40" s="28"/>
      <c r="B40" s="643"/>
      <c r="C40" s="28"/>
      <c r="D40" s="28"/>
      <c r="E40" s="28"/>
      <c r="F40" s="28"/>
      <c r="G40" s="28"/>
      <c r="H40" s="28"/>
      <c r="I40" s="28"/>
      <c r="J40" s="28"/>
      <c r="K40" s="28"/>
      <c r="L40" s="28"/>
      <c r="M40" s="28"/>
      <c r="N40" s="28"/>
      <c r="O40" s="28"/>
      <c r="P40" s="28"/>
      <c r="Q40" s="28"/>
      <c r="R40" s="13"/>
      <c r="S40" s="13"/>
    </row>
    <row r="42" spans="1:19" x14ac:dyDescent="0.25">
      <c r="A42" s="13"/>
      <c r="B42" s="13"/>
      <c r="C42" s="13"/>
      <c r="D42" s="13"/>
      <c r="E42" s="13"/>
      <c r="F42" s="13"/>
      <c r="G42" s="13"/>
      <c r="H42" s="13"/>
      <c r="I42" s="13"/>
      <c r="J42" s="13"/>
      <c r="K42" s="13"/>
      <c r="L42" s="13"/>
      <c r="M42" s="13"/>
      <c r="N42" s="95">
        <f>+M39-'MAPP IFAM 2020 PROG. I'!AI39</f>
        <v>-225065732.07000005</v>
      </c>
      <c r="O42" s="13"/>
      <c r="P42" s="13"/>
      <c r="Q42" s="13"/>
      <c r="R42" s="13"/>
      <c r="S42" s="13"/>
    </row>
    <row r="43" spans="1:19" x14ac:dyDescent="0.25">
      <c r="A43" s="13"/>
      <c r="B43" s="13"/>
      <c r="C43" s="13">
        <v>19318510.050000001</v>
      </c>
      <c r="D43" s="13"/>
      <c r="E43" s="13"/>
      <c r="F43" s="13"/>
      <c r="G43" s="13"/>
      <c r="H43" s="13"/>
      <c r="I43" s="13"/>
      <c r="J43" s="13"/>
      <c r="K43" s="13"/>
      <c r="L43" s="13"/>
      <c r="M43" s="13"/>
      <c r="N43" s="13"/>
      <c r="O43" s="13"/>
      <c r="P43" s="13"/>
      <c r="Q43" s="13"/>
      <c r="R43" s="13"/>
      <c r="S43" s="13"/>
    </row>
    <row r="44" spans="1:19" x14ac:dyDescent="0.25">
      <c r="A44" s="13"/>
      <c r="B44" s="13"/>
      <c r="C44" s="13">
        <v>16429853.279999999</v>
      </c>
      <c r="D44" s="13"/>
      <c r="E44" s="13"/>
      <c r="F44" s="13"/>
      <c r="G44" s="13"/>
      <c r="H44" s="13"/>
      <c r="I44" s="13"/>
      <c r="J44" s="13"/>
      <c r="K44" s="13"/>
      <c r="L44" s="13"/>
      <c r="M44" s="13"/>
      <c r="N44" s="13"/>
      <c r="O44" s="13"/>
      <c r="P44" s="13"/>
      <c r="Q44" s="13"/>
      <c r="R44" s="13"/>
      <c r="S44" s="13"/>
    </row>
    <row r="45" spans="1:19" x14ac:dyDescent="0.25">
      <c r="A45" s="13"/>
      <c r="B45" s="13"/>
      <c r="C45" s="13">
        <f>SUM(C43:C44)</f>
        <v>35748363.329999998</v>
      </c>
      <c r="D45" s="13"/>
      <c r="E45" s="13"/>
      <c r="F45" s="13"/>
      <c r="G45" s="13"/>
      <c r="H45" s="13"/>
      <c r="I45" s="13"/>
      <c r="J45" s="13"/>
      <c r="K45" s="13"/>
      <c r="L45" s="13"/>
      <c r="M45" s="13"/>
      <c r="N45" s="13"/>
      <c r="O45" s="13"/>
      <c r="P45" s="13"/>
      <c r="Q45" s="13"/>
      <c r="R45" s="13"/>
      <c r="S45" s="13"/>
    </row>
    <row r="46" spans="1:19" x14ac:dyDescent="0.25">
      <c r="A46" s="13" t="s">
        <v>449</v>
      </c>
      <c r="B46" s="13"/>
      <c r="C46" s="13"/>
      <c r="D46" s="13"/>
      <c r="E46" s="13"/>
      <c r="F46" s="13"/>
      <c r="G46" s="13"/>
      <c r="H46" s="13"/>
      <c r="I46" s="13"/>
      <c r="J46" s="13"/>
      <c r="K46" s="13"/>
      <c r="L46" s="13"/>
      <c r="M46" s="13"/>
      <c r="N46" s="13"/>
      <c r="O46" s="13"/>
      <c r="P46" s="13"/>
      <c r="Q46" s="13"/>
      <c r="R46" s="13"/>
      <c r="S46" s="13"/>
    </row>
    <row r="48" spans="1:19" ht="15.75" thickBot="1" x14ac:dyDescent="0.3">
      <c r="A48" s="13" t="s">
        <v>143</v>
      </c>
      <c r="B48" s="13"/>
      <c r="C48" s="13"/>
      <c r="D48" s="13"/>
      <c r="E48" s="13"/>
      <c r="F48" s="13"/>
      <c r="G48" s="13"/>
      <c r="H48" s="13"/>
      <c r="I48" s="13"/>
      <c r="J48" s="13"/>
      <c r="K48" s="13"/>
      <c r="L48" s="13"/>
      <c r="M48" s="13"/>
      <c r="N48" s="13"/>
      <c r="O48" s="13"/>
      <c r="P48" s="13"/>
      <c r="Q48" s="13"/>
      <c r="R48" s="13"/>
      <c r="S48" s="13"/>
    </row>
    <row r="49" spans="3:3" ht="16.5" thickTop="1" thickBot="1" x14ac:dyDescent="0.3">
      <c r="C49" s="90">
        <f>SUM(C51:C55)</f>
        <v>35748363.329999998</v>
      </c>
    </row>
    <row r="50" spans="3:3" ht="16.5" thickTop="1" thickBot="1" x14ac:dyDescent="0.3">
      <c r="C50" s="13"/>
    </row>
    <row r="51" spans="3:3" ht="16.5" thickTop="1" thickBot="1" x14ac:dyDescent="0.3">
      <c r="C51" s="89">
        <f>+$C$45*0.1</f>
        <v>3574836.3330000001</v>
      </c>
    </row>
    <row r="52" spans="3:3" ht="16.5" thickTop="1" thickBot="1" x14ac:dyDescent="0.3">
      <c r="C52" s="89">
        <f>+$C$45*0.1</f>
        <v>3574836.3330000001</v>
      </c>
    </row>
    <row r="53" spans="3:3" ht="16.5" thickTop="1" thickBot="1" x14ac:dyDescent="0.3">
      <c r="C53" s="89">
        <f>+$C$45*0.1</f>
        <v>3574836.3330000001</v>
      </c>
    </row>
    <row r="54" spans="3:3" ht="16.5" thickTop="1" thickBot="1" x14ac:dyDescent="0.3">
      <c r="C54" s="89">
        <f>+$C$45*0.55</f>
        <v>19661599.831500001</v>
      </c>
    </row>
    <row r="55" spans="3:3" ht="15.75" thickTop="1" x14ac:dyDescent="0.25">
      <c r="C55" s="89">
        <f>+$C$45*0.15</f>
        <v>5362254.4994999999</v>
      </c>
    </row>
    <row r="60" spans="3:3" ht="15.75" thickBot="1" x14ac:dyDescent="0.3">
      <c r="C60" s="13"/>
    </row>
    <row r="61" spans="3:3" ht="16.5" thickTop="1" thickBot="1" x14ac:dyDescent="0.3">
      <c r="C61" s="90">
        <f t="shared" ref="C61" si="0">SUM(C62:C66)</f>
        <v>0</v>
      </c>
    </row>
    <row r="62" spans="3:3" ht="16.5" thickTop="1" thickBot="1" x14ac:dyDescent="0.3">
      <c r="C62" s="89">
        <f>+A62+B62</f>
        <v>0</v>
      </c>
    </row>
    <row r="63" spans="3:3" ht="16.5" thickTop="1" thickBot="1" x14ac:dyDescent="0.3">
      <c r="C63" s="89">
        <f t="shared" ref="C63:C66" si="1">+A63+B63</f>
        <v>0</v>
      </c>
    </row>
    <row r="64" spans="3:3" ht="16.5" thickTop="1" thickBot="1" x14ac:dyDescent="0.3">
      <c r="C64" s="89">
        <f t="shared" si="1"/>
        <v>0</v>
      </c>
    </row>
    <row r="65" spans="1:3" ht="16.5" thickTop="1" thickBot="1" x14ac:dyDescent="0.3">
      <c r="A65" s="13"/>
      <c r="B65" s="13"/>
      <c r="C65" s="89">
        <f t="shared" si="1"/>
        <v>0</v>
      </c>
    </row>
    <row r="66" spans="1:3" ht="15.75" thickTop="1" x14ac:dyDescent="0.25">
      <c r="A66" s="13"/>
      <c r="B66" s="13"/>
      <c r="C66" s="89">
        <f t="shared" si="1"/>
        <v>0</v>
      </c>
    </row>
    <row r="74" spans="1:3" x14ac:dyDescent="0.25">
      <c r="A74" s="45">
        <f>+'MAPP IFAM 2020 PROG. I'!AC38</f>
        <v>4069626197.1900001</v>
      </c>
      <c r="B74" s="13"/>
      <c r="C74" s="13"/>
    </row>
    <row r="75" spans="1:3" x14ac:dyDescent="0.25">
      <c r="A75" s="45">
        <f>+[5]Hoja1!$E$4</f>
        <v>1058160820.0000001</v>
      </c>
      <c r="B75" s="13"/>
      <c r="C75" s="13"/>
    </row>
    <row r="76" spans="1:3" x14ac:dyDescent="0.25">
      <c r="A76" s="45">
        <f>+A74+A75</f>
        <v>5127787017.1900005</v>
      </c>
      <c r="B76" s="13"/>
      <c r="C76" s="13"/>
    </row>
    <row r="77" spans="1:3" x14ac:dyDescent="0.25">
      <c r="A77" s="46">
        <f>+A76-1099399304</f>
        <v>4028387713.1900005</v>
      </c>
      <c r="B77" s="13"/>
      <c r="C77" s="13"/>
    </row>
    <row r="87" spans="1:3" x14ac:dyDescent="0.25">
      <c r="A87" s="13" t="s">
        <v>450</v>
      </c>
      <c r="B87" s="13"/>
      <c r="C87" s="13"/>
    </row>
    <row r="88" spans="1:3" x14ac:dyDescent="0.25">
      <c r="A88" s="95">
        <v>3323586145.8899999</v>
      </c>
      <c r="B88" s="45">
        <v>429638909.86000001</v>
      </c>
      <c r="C88" s="45">
        <v>3753225055.75</v>
      </c>
    </row>
    <row r="89" spans="1:3" x14ac:dyDescent="0.25">
      <c r="A89" s="95">
        <v>341078200</v>
      </c>
      <c r="B89" s="95">
        <v>484521911.13999999</v>
      </c>
      <c r="C89" s="95">
        <v>825600111.13999999</v>
      </c>
    </row>
    <row r="90" spans="1:3" x14ac:dyDescent="0.25">
      <c r="A90" s="95">
        <v>9985865.3800000008</v>
      </c>
      <c r="B90" s="95">
        <v>-8449578.4000000004</v>
      </c>
      <c r="C90" s="95">
        <v>1536286.98</v>
      </c>
    </row>
    <row r="92" spans="1:3" x14ac:dyDescent="0.25">
      <c r="A92" s="46">
        <f t="shared" ref="A92:C92" si="2">SUM(A88:A91)</f>
        <v>3674650211.27</v>
      </c>
      <c r="B92" s="46">
        <f t="shared" si="2"/>
        <v>905711242.60000002</v>
      </c>
      <c r="C92" s="46">
        <f t="shared" si="2"/>
        <v>4580361453.8699999</v>
      </c>
    </row>
    <row r="97" spans="1:3" x14ac:dyDescent="0.25">
      <c r="A97" s="13" t="s">
        <v>451</v>
      </c>
      <c r="B97" s="95">
        <v>1485231619.1300001</v>
      </c>
      <c r="C97" s="13"/>
    </row>
    <row r="98" spans="1:3" x14ac:dyDescent="0.25">
      <c r="A98" s="13" t="s">
        <v>452</v>
      </c>
      <c r="B98" s="150">
        <v>232175499.15000001</v>
      </c>
      <c r="C98" s="13"/>
    </row>
    <row r="99" spans="1:3" x14ac:dyDescent="0.25">
      <c r="A99" s="13"/>
      <c r="B99" s="95">
        <f>SUM(B97:B98)</f>
        <v>1717407118.2800002</v>
      </c>
      <c r="C99" s="13"/>
    </row>
    <row r="101" spans="1:3" x14ac:dyDescent="0.25">
      <c r="A101" s="13"/>
      <c r="B101" s="95">
        <v>1875711839.5</v>
      </c>
      <c r="C101" s="13"/>
    </row>
    <row r="103" spans="1:3" x14ac:dyDescent="0.25">
      <c r="A103" s="13"/>
      <c r="B103" s="95">
        <f>+B101-B99</f>
        <v>158304721.21999979</v>
      </c>
      <c r="C103" s="13"/>
    </row>
    <row r="108" spans="1:3" x14ac:dyDescent="0.25">
      <c r="A108" s="95">
        <v>1374964097.3599999</v>
      </c>
      <c r="B108" s="95">
        <v>121965560.02</v>
      </c>
      <c r="C108" s="95">
        <v>1496929657.3800001</v>
      </c>
    </row>
    <row r="109" spans="1:3" x14ac:dyDescent="0.25">
      <c r="A109" s="95">
        <v>9950000</v>
      </c>
      <c r="B109" s="13">
        <v>0</v>
      </c>
      <c r="C109" s="95">
        <v>9950000</v>
      </c>
    </row>
    <row r="110" spans="1:3" x14ac:dyDescent="0.25">
      <c r="A110" s="95">
        <f>SUM(A108:A109)</f>
        <v>1384914097.3599999</v>
      </c>
      <c r="B110" s="95">
        <f t="shared" ref="B110:C110" si="3">SUM(B108:B109)</f>
        <v>121965560.02</v>
      </c>
      <c r="C110" s="95">
        <f t="shared" si="3"/>
        <v>1506879657.3800001</v>
      </c>
    </row>
    <row r="112" spans="1:3" x14ac:dyDescent="0.25">
      <c r="A112" s="45">
        <f>+'MAPP IFAM 2020 PROG. I'!AA39</f>
        <v>1384914097.3600001</v>
      </c>
      <c r="B112" s="95">
        <f>+B110-'MAPP IFAM 2020 PROG. I'!AB39</f>
        <v>231622643.1500001</v>
      </c>
      <c r="C112" s="13"/>
    </row>
    <row r="114" spans="1:3" x14ac:dyDescent="0.25">
      <c r="A114" s="95">
        <f>+A110-A112</f>
        <v>0</v>
      </c>
      <c r="B114" s="95">
        <f>+B108-'MAPP IFAM 2020 PROG. I'!AB39</f>
        <v>231622643.1500001</v>
      </c>
      <c r="C114" s="95">
        <f>+C108+C109</f>
        <v>1506879657.3800001</v>
      </c>
    </row>
    <row r="118" spans="1:3" x14ac:dyDescent="0.25">
      <c r="A118" s="95">
        <v>484098618.31</v>
      </c>
      <c r="B118" s="13">
        <f>+'MAPP IFAM 2020 PROG. I'!AI39</f>
        <v>496883491.16000003</v>
      </c>
      <c r="C118" s="95">
        <f>+A118-B118</f>
        <v>-12784872.850000024</v>
      </c>
    </row>
    <row r="132" spans="1:3" ht="30" x14ac:dyDescent="0.25">
      <c r="A132" s="164" t="s">
        <v>439</v>
      </c>
      <c r="B132" s="164" t="s">
        <v>453</v>
      </c>
      <c r="C132" s="165" t="s">
        <v>454</v>
      </c>
    </row>
    <row r="133" spans="1:3" x14ac:dyDescent="0.25">
      <c r="A133" s="96">
        <v>3323586145.8899999</v>
      </c>
      <c r="B133" s="96">
        <v>319559940.16000003</v>
      </c>
      <c r="C133" s="96">
        <v>3643146086.0500002</v>
      </c>
    </row>
    <row r="134" spans="1:3" x14ac:dyDescent="0.25">
      <c r="A134" s="45">
        <v>341078200</v>
      </c>
      <c r="B134" s="45">
        <v>84521911.140000001</v>
      </c>
      <c r="C134" s="45">
        <v>425600111.13999999</v>
      </c>
    </row>
    <row r="135" spans="1:3" x14ac:dyDescent="0.25">
      <c r="A135" s="95">
        <v>9985865.3800000008</v>
      </c>
      <c r="B135" s="95">
        <v>-9985865.3800000008</v>
      </c>
      <c r="C135" s="13" t="s">
        <v>455</v>
      </c>
    </row>
    <row r="136" spans="1:3" x14ac:dyDescent="0.25">
      <c r="A136" s="46">
        <f>SUM(A133:A135)</f>
        <v>3674650211.27</v>
      </c>
      <c r="B136" s="46">
        <f>SUM(B133:B135)</f>
        <v>394095985.92000002</v>
      </c>
      <c r="C136" s="46">
        <f>SUM(C133:C135)</f>
        <v>4068746197.1900001</v>
      </c>
    </row>
    <row r="138" spans="1:3" x14ac:dyDescent="0.25">
      <c r="A138" s="45"/>
      <c r="B138" s="45"/>
      <c r="C138" s="45"/>
    </row>
    <row r="139" spans="1:3" x14ac:dyDescent="0.25">
      <c r="A139" s="45">
        <f>+'MAPP IFAM 2020 PROG. I'!AC36</f>
        <v>4503436078.3800001</v>
      </c>
      <c r="B139" s="45">
        <v>4452231078.3800001</v>
      </c>
      <c r="C139" s="45">
        <f>+A139-B139</f>
        <v>51205000</v>
      </c>
    </row>
    <row r="145" spans="1:3" x14ac:dyDescent="0.25">
      <c r="A145" s="45">
        <v>1985266011.8499999</v>
      </c>
      <c r="B145" s="13"/>
      <c r="C145" s="13"/>
    </row>
    <row r="146" spans="1:3" x14ac:dyDescent="0.25">
      <c r="A146" s="45">
        <v>241510030.13</v>
      </c>
      <c r="B146" s="13"/>
      <c r="C146" s="13"/>
    </row>
    <row r="147" spans="1:3" x14ac:dyDescent="0.25">
      <c r="A147" s="166">
        <f>+A145+A146</f>
        <v>2226776041.98</v>
      </c>
      <c r="B147" s="166">
        <f>+A147-'MAPP IFAM 2020 PROG. I'!AI38</f>
        <v>509368923.70000005</v>
      </c>
      <c r="C147" s="13"/>
    </row>
    <row r="149" spans="1:3" x14ac:dyDescent="0.25">
      <c r="A149" s="45">
        <v>2426643340.54</v>
      </c>
      <c r="B149" s="46">
        <f>+A149-'MAPP IFAM 2020 PROG. I'!AK36</f>
        <v>-52713975.139999866</v>
      </c>
      <c r="C149" s="13"/>
    </row>
    <row r="157" spans="1:3" x14ac:dyDescent="0.25">
      <c r="A157" s="45">
        <v>1374964097.3599999</v>
      </c>
      <c r="B157" s="45">
        <v>-164657083.13</v>
      </c>
      <c r="C157" s="45">
        <f>+A157+B157</f>
        <v>1210307014.23</v>
      </c>
    </row>
    <row r="158" spans="1:3" x14ac:dyDescent="0.25">
      <c r="A158" s="96">
        <v>9950000</v>
      </c>
      <c r="B158" s="45"/>
      <c r="C158" s="45">
        <f>+A158</f>
        <v>9950000</v>
      </c>
    </row>
    <row r="159" spans="1:3" x14ac:dyDescent="0.25">
      <c r="A159" s="167">
        <f>SUM(A157:A158)</f>
        <v>1384914097.3599999</v>
      </c>
      <c r="B159" s="167">
        <f>SUM(B157:B158)</f>
        <v>-164657083.13</v>
      </c>
      <c r="C159" s="167">
        <f>SUM(C157:C158)</f>
        <v>1220257014.23</v>
      </c>
    </row>
    <row r="162" spans="3:3" x14ac:dyDescent="0.25">
      <c r="C162" s="45">
        <v>1506879657.3800001</v>
      </c>
    </row>
    <row r="163" spans="3:3" x14ac:dyDescent="0.25">
      <c r="C163" s="166">
        <f>+C162-C159</f>
        <v>286622643.1500001</v>
      </c>
    </row>
  </sheetData>
  <mergeCells count="14">
    <mergeCell ref="P39:Q39"/>
    <mergeCell ref="D36:D37"/>
    <mergeCell ref="E36:G37"/>
    <mergeCell ref="H36:I37"/>
    <mergeCell ref="J36:K37"/>
    <mergeCell ref="L36:M37"/>
    <mergeCell ref="N36:N37"/>
    <mergeCell ref="Q36:R36"/>
    <mergeCell ref="M39:N39"/>
    <mergeCell ref="B39:B40"/>
    <mergeCell ref="D39:F39"/>
    <mergeCell ref="G39:H39"/>
    <mergeCell ref="I39:J39"/>
    <mergeCell ref="K39:L39"/>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83C94-7EC6-47B4-843B-FB223794FB05}">
  <dimension ref="A1"/>
  <sheetViews>
    <sheetView topLeftCell="A34" workbookViewId="0"/>
  </sheetViews>
  <sheetFormatPr baseColWidth="10" defaultColWidth="11.42578125"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20A9-9A39-4407-A15D-730B605D6225}">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F21244AB1CB6F4A92869650DB664533" ma:contentTypeVersion="7" ma:contentTypeDescription="Crear nuevo documento." ma:contentTypeScope="" ma:versionID="b8ae5fed7e59b028084631b1572d06e8">
  <xsd:schema xmlns:xsd="http://www.w3.org/2001/XMLSchema" xmlns:xs="http://www.w3.org/2001/XMLSchema" xmlns:p="http://schemas.microsoft.com/office/2006/metadata/properties" xmlns:ns3="e0390cd3-084a-4ac6-8761-d898f9bf8862" xmlns:ns4="ee43828c-feac-4506-82e5-04bb735d73ee" targetNamespace="http://schemas.microsoft.com/office/2006/metadata/properties" ma:root="true" ma:fieldsID="a6b55939223fb1ece7158fa179fa4b98" ns3:_="" ns4:_="">
    <xsd:import namespace="e0390cd3-084a-4ac6-8761-d898f9bf8862"/>
    <xsd:import namespace="ee43828c-feac-4506-82e5-04bb735d73e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390cd3-084a-4ac6-8761-d898f9bf88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43828c-feac-4506-82e5-04bb735d73e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9801E1-64F1-4CF1-A622-C9B87AFBA94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C4B0A62-B490-4D34-A368-AA1C60648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390cd3-084a-4ac6-8761-d898f9bf8862"/>
    <ds:schemaRef ds:uri="ee43828c-feac-4506-82e5-04bb735d73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877204-2CEA-4B10-94DF-3C94BEDD19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MAPP IFAM 2020 PROG. I</vt:lpstr>
      <vt:lpstr>MAPP IFAM PROG. II</vt:lpstr>
      <vt:lpstr>RESUMEN Y GRÁFICOS</vt:lpstr>
      <vt:lpstr>FICHA TECNICA DEL INDICADOR (2)</vt:lpstr>
      <vt:lpstr>Hoja4</vt:lpstr>
      <vt:lpstr>FICHA TECNICA DEL INDICADOR</vt:lpstr>
      <vt:lpstr>Hoja1</vt:lpstr>
      <vt:lpstr>Hoja3</vt:lpstr>
      <vt:lpstr>Hoja2</vt:lpstr>
      <vt:lpstr>Resumen de metas</vt:lpstr>
      <vt:lpstr>'MAPP IFAM 2020 PROG. I'!Área_de_impresión</vt:lpstr>
      <vt:lpstr>'MAPP IFAM PROG. II'!Área_de_impresión</vt:lpstr>
      <vt:lpstr>'MAPP IFAM 2020 PROG. I'!Títulos_a_imprimir</vt:lpstr>
      <vt:lpstr>'MAPP IFAM PROG. II'!Títulos_a_imprimir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moreramar</dc:creator>
  <cp:keywords/>
  <dc:description/>
  <cp:lastModifiedBy>Ronald Rodriguez Mena</cp:lastModifiedBy>
  <cp:revision/>
  <dcterms:created xsi:type="dcterms:W3CDTF">2015-03-06T17:33:50Z</dcterms:created>
  <dcterms:modified xsi:type="dcterms:W3CDTF">2020-10-28T22:22:07Z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0x0101003F21244AB1CB6F4A92869650DB664533</vt:lpwstr>
  </property>
</Properties>
</file>