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nazofeifa\Documents\AÑO 2020\"/>
    </mc:Choice>
  </mc:AlternateContent>
  <xr:revisionPtr revIDLastSave="0" documentId="8_{98570EC0-DCD2-449A-BD34-521ED169DF00}" xr6:coauthVersionLast="45" xr6:coauthVersionMax="45" xr10:uidLastSave="{00000000-0000-0000-0000-000000000000}"/>
  <bookViews>
    <workbookView xWindow="-120" yWindow="-120" windowWidth="20730" windowHeight="11160" activeTab="1" xr2:uid="{EB2BC662-BA11-4500-BE17-C866981A2ADD}"/>
  </bookViews>
  <sheets>
    <sheet name="FICHA TECNICA DEL INDICADOR" sheetId="11" r:id="rId1"/>
    <sheet name="MAPP IFAM 2020 PROG. I" sheetId="9" r:id="rId2"/>
    <sheet name="MAPP IFAM PROG. II" sheetId="7" r:id="rId3"/>
    <sheet name="RESUMEN PRESUPUESTO" sheetId="12" r:id="rId4"/>
    <sheet name="Hoja1" sheetId="16" r:id="rId5"/>
    <sheet name="Hoja2" sheetId="15" state="hidden" r:id="rId6"/>
    <sheet name="Resumen de metas" sheetId="13" state="hidden" r:id="rId7"/>
  </sheets>
  <externalReferences>
    <externalReference r:id="rId8"/>
    <externalReference r:id="rId9"/>
    <externalReference r:id="rId10"/>
    <externalReference r:id="rId11"/>
    <externalReference r:id="rId12"/>
  </externalReferences>
  <definedNames>
    <definedName name="_xlnm.Print_Area" localSheetId="2">'MAPP IFAM PROG. II'!$A$1:$AX$43</definedName>
    <definedName name="CatCta">[1]!Tabla6[Catálogo de Cuentas]</definedName>
    <definedName name="L_dim">[1]!Tabla1[Dimensiones]</definedName>
    <definedName name="L_Program">[1]!Tabla2[Programa]</definedName>
    <definedName name="L1_P">[1]!Tabla3[SubPrograma 1]</definedName>
    <definedName name="L2_P">[1]!Tabla35[SubPrograma 2]</definedName>
    <definedName name="_xlnm.Print_Titles" localSheetId="1">'MAPP IFAM 2020 PROG. I'!$1:$17</definedName>
    <definedName name="_xlnm.Print_Titles" localSheetId="2">'MAPP IFAM PROG. II'!$1:$14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12" l="1"/>
  <c r="D61" i="12" s="1"/>
  <c r="A75" i="16" l="1"/>
  <c r="A76" i="16" s="1"/>
  <c r="A77" i="16" s="1"/>
  <c r="A74" i="16"/>
  <c r="F59" i="12" l="1"/>
  <c r="F58" i="12"/>
  <c r="F57" i="12"/>
  <c r="F56" i="12"/>
  <c r="G50" i="12"/>
  <c r="G45" i="12"/>
  <c r="G46" i="12"/>
  <c r="G47" i="12"/>
  <c r="G48" i="12"/>
  <c r="G44" i="12"/>
  <c r="AD41" i="7"/>
  <c r="AD42" i="7"/>
  <c r="AD40" i="7"/>
  <c r="AD39" i="7"/>
  <c r="AD38" i="7"/>
  <c r="AJ42" i="7"/>
  <c r="AJ41" i="7"/>
  <c r="AJ40" i="7"/>
  <c r="AJ39" i="7"/>
  <c r="AJ38" i="7"/>
  <c r="AD35" i="7"/>
  <c r="AD36" i="7"/>
  <c r="AD23" i="7"/>
  <c r="AD25" i="7"/>
  <c r="AD21" i="7"/>
  <c r="AD16" i="7"/>
  <c r="AE43" i="7"/>
  <c r="AA43" i="7"/>
  <c r="AB43" i="7"/>
  <c r="G33" i="12"/>
  <c r="AE50" i="9"/>
  <c r="AI50" i="9"/>
  <c r="AJ50" i="9"/>
  <c r="AK50" i="9"/>
  <c r="AB50" i="9"/>
  <c r="AC50" i="9"/>
  <c r="AI45" i="9"/>
  <c r="AI41" i="9"/>
  <c r="AI43" i="9"/>
  <c r="AI47" i="9"/>
  <c r="AI49" i="9"/>
  <c r="AI42" i="9"/>
  <c r="AI40" i="9"/>
  <c r="AI37" i="9"/>
  <c r="AI38" i="9"/>
  <c r="AI35" i="9" l="1"/>
  <c r="AI34" i="9"/>
  <c r="AI32" i="9"/>
  <c r="AI30" i="9"/>
  <c r="AI29" i="9"/>
  <c r="AI27" i="9"/>
  <c r="AI21" i="9"/>
  <c r="AI19" i="9"/>
  <c r="AB35" i="7" l="1"/>
  <c r="D48" i="12" l="1"/>
  <c r="D46" i="12"/>
  <c r="D45" i="12"/>
  <c r="D44" i="12"/>
  <c r="AF39" i="7"/>
  <c r="AF40" i="7"/>
  <c r="AF41" i="7"/>
  <c r="AF42" i="7"/>
  <c r="AF38" i="7"/>
  <c r="AE37" i="7"/>
  <c r="C55" i="16"/>
  <c r="C53" i="16"/>
  <c r="C52" i="16"/>
  <c r="C51" i="16"/>
  <c r="C54" i="16"/>
  <c r="C49" i="16" s="1"/>
  <c r="C45" i="16"/>
  <c r="C66" i="16"/>
  <c r="C65" i="16"/>
  <c r="C64" i="16"/>
  <c r="C63" i="16"/>
  <c r="C62" i="16"/>
  <c r="C61" i="16"/>
  <c r="AB42" i="7"/>
  <c r="AB41" i="7"/>
  <c r="AB39" i="7"/>
  <c r="AB40" i="7"/>
  <c r="AB37" i="7" s="1"/>
  <c r="AB38" i="7"/>
  <c r="AA37" i="7"/>
  <c r="AD28" i="7"/>
  <c r="F47" i="12" s="1"/>
  <c r="AE28" i="7"/>
  <c r="AF29" i="7"/>
  <c r="AF30" i="7"/>
  <c r="AF31" i="7"/>
  <c r="AF32" i="7"/>
  <c r="AF33" i="7"/>
  <c r="AF34" i="7"/>
  <c r="AF36" i="7"/>
  <c r="AB29" i="7"/>
  <c r="AB30" i="7"/>
  <c r="AB31" i="7"/>
  <c r="AB32" i="7"/>
  <c r="AB33" i="7"/>
  <c r="AB34" i="7"/>
  <c r="AA28" i="7"/>
  <c r="Z23" i="7"/>
  <c r="Z25" i="7"/>
  <c r="AD22" i="7"/>
  <c r="F46" i="12" s="1"/>
  <c r="AF26" i="7"/>
  <c r="AF27" i="7"/>
  <c r="AF24" i="7"/>
  <c r="AF25" i="7"/>
  <c r="AF23" i="7"/>
  <c r="AE22" i="7"/>
  <c r="AA22" i="7"/>
  <c r="AB26" i="7"/>
  <c r="AB27" i="7"/>
  <c r="AF18" i="7"/>
  <c r="AF19" i="7"/>
  <c r="AF20" i="7"/>
  <c r="AF21" i="7"/>
  <c r="AE17" i="7"/>
  <c r="AD15" i="7"/>
  <c r="AE15" i="7"/>
  <c r="AF16" i="7"/>
  <c r="AF15" i="7" s="1"/>
  <c r="AD17" i="7"/>
  <c r="F45" i="12" s="1"/>
  <c r="AA17" i="7"/>
  <c r="AA15" i="7"/>
  <c r="AB16" i="7"/>
  <c r="AB15" i="7" s="1"/>
  <c r="AB18" i="9"/>
  <c r="AB20" i="9"/>
  <c r="AC23" i="9"/>
  <c r="AJ18" i="9"/>
  <c r="AJ20" i="9"/>
  <c r="F26" i="12"/>
  <c r="F44" i="12" l="1"/>
  <c r="AF37" i="7"/>
  <c r="AD37" i="7"/>
  <c r="F48" i="12" s="1"/>
  <c r="F50" i="12" s="1"/>
  <c r="AF35" i="7"/>
  <c r="AF28" i="7" s="1"/>
  <c r="AF17" i="7"/>
  <c r="AB25" i="7"/>
  <c r="AF22" i="7"/>
  <c r="AJ39" i="9"/>
  <c r="AC42" i="9"/>
  <c r="AC46" i="9"/>
  <c r="AC48" i="9"/>
  <c r="AB39" i="9"/>
  <c r="AD43" i="7" l="1"/>
  <c r="AF43" i="7"/>
  <c r="AB23" i="7"/>
  <c r="AB24" i="7"/>
  <c r="AI39" i="9"/>
  <c r="AK38" i="9"/>
  <c r="AJ36" i="9"/>
  <c r="AK37" i="9"/>
  <c r="A35" i="16"/>
  <c r="AA38" i="9"/>
  <c r="AC38" i="9" s="1"/>
  <c r="AA37" i="9"/>
  <c r="A30" i="16" s="1"/>
  <c r="AB37" i="9" s="1"/>
  <c r="AB36" i="9" s="1"/>
  <c r="A28" i="16"/>
  <c r="A25" i="16"/>
  <c r="AJ33" i="9"/>
  <c r="AK35" i="9"/>
  <c r="AK34" i="9"/>
  <c r="B17" i="16"/>
  <c r="B16" i="16"/>
  <c r="AC35" i="9"/>
  <c r="AC34" i="9"/>
  <c r="AC33" i="9" s="1"/>
  <c r="D30" i="12" s="1"/>
  <c r="AB33" i="9"/>
  <c r="AJ31" i="9"/>
  <c r="AK32" i="9"/>
  <c r="AB31" i="9"/>
  <c r="AC32" i="9"/>
  <c r="AJ28" i="9"/>
  <c r="AK30" i="9"/>
  <c r="AK29" i="9"/>
  <c r="AI31" i="9" l="1"/>
  <c r="N42" i="16"/>
  <c r="F32" i="12"/>
  <c r="AK28" i="9"/>
  <c r="AI28" i="9"/>
  <c r="F28" i="12" s="1"/>
  <c r="AI33" i="9"/>
  <c r="F30" i="12" s="1"/>
  <c r="G30" i="12" s="1"/>
  <c r="AI36" i="9"/>
  <c r="F31" i="12" s="1"/>
  <c r="G31" i="12" s="1"/>
  <c r="AB22" i="7"/>
  <c r="AK36" i="9"/>
  <c r="AC37" i="9"/>
  <c r="AC36" i="9" s="1"/>
  <c r="D31" i="12" s="1"/>
  <c r="AK33" i="9"/>
  <c r="C11" i="16"/>
  <c r="B11" i="16"/>
  <c r="C10" i="16"/>
  <c r="B10" i="16"/>
  <c r="AB28" i="9"/>
  <c r="AA29" i="9"/>
  <c r="AC29" i="9" s="1"/>
  <c r="AA30" i="9"/>
  <c r="AC30" i="9" s="1"/>
  <c r="A8" i="16"/>
  <c r="A7" i="16"/>
  <c r="G28" i="12" l="1"/>
  <c r="F29" i="12"/>
  <c r="AK31" i="9"/>
  <c r="AC28" i="9"/>
  <c r="D28" i="12" s="1"/>
  <c r="AJ24" i="9"/>
  <c r="AK25" i="9"/>
  <c r="AK26" i="9"/>
  <c r="AL26" i="9" s="1"/>
  <c r="AI24" i="9"/>
  <c r="F27" i="12" s="1"/>
  <c r="AC26" i="9"/>
  <c r="AB24" i="9"/>
  <c r="AK23" i="9"/>
  <c r="AI20" i="9"/>
  <c r="F25" i="12" s="1"/>
  <c r="AC21" i="9"/>
  <c r="D25" i="12" s="1"/>
  <c r="AI18" i="9"/>
  <c r="F24" i="12" s="1"/>
  <c r="G24" i="12" s="1"/>
  <c r="AC19" i="9"/>
  <c r="D24" i="12" s="1"/>
  <c r="G25" i="12" l="1"/>
  <c r="AK19" i="9"/>
  <c r="AK18" i="9" s="1"/>
  <c r="F35" i="12"/>
  <c r="AK27" i="9"/>
  <c r="AK21" i="9"/>
  <c r="AK20" i="9" s="1"/>
  <c r="AK24" i="9"/>
  <c r="AA49" i="9" l="1"/>
  <c r="AC49" i="9" s="1"/>
  <c r="Z41" i="7" l="1"/>
  <c r="Z36" i="7"/>
  <c r="AB36" i="7" s="1"/>
  <c r="AA43" i="9"/>
  <c r="AC43" i="9" s="1"/>
  <c r="AA47" i="9"/>
  <c r="AC47" i="9" s="1"/>
  <c r="AA41" i="9"/>
  <c r="AC41" i="9" s="1"/>
  <c r="AA45" i="9"/>
  <c r="AC45" i="9" s="1"/>
  <c r="AA40" i="9"/>
  <c r="AC40" i="9" s="1"/>
  <c r="AA27" i="9"/>
  <c r="AC27" i="9" s="1"/>
  <c r="AA25" i="9"/>
  <c r="AC25" i="9" s="1"/>
  <c r="W26" i="9"/>
  <c r="AC24" i="9" l="1"/>
  <c r="D27" i="12" s="1"/>
  <c r="G27" i="12" s="1"/>
  <c r="Z20" i="7"/>
  <c r="AB20" i="7" s="1"/>
  <c r="Z21" i="7"/>
  <c r="AB21" i="7" s="1"/>
  <c r="Z19" i="7"/>
  <c r="AB19" i="7" s="1"/>
  <c r="Z18" i="7"/>
  <c r="AB18" i="7" s="1"/>
  <c r="AB17" i="7" l="1"/>
  <c r="AA36" i="9"/>
  <c r="AA31" i="9"/>
  <c r="AC31" i="9" s="1"/>
  <c r="D29" i="12" s="1"/>
  <c r="G29" i="12" s="1"/>
  <c r="AA20" i="9" l="1"/>
  <c r="AC20" i="9" s="1"/>
  <c r="C74" i="13" l="1"/>
  <c r="C10" i="13"/>
  <c r="C7" i="13"/>
  <c r="C35" i="13"/>
  <c r="C37" i="13"/>
  <c r="U42" i="7" l="1"/>
  <c r="Z35" i="7"/>
  <c r="AB28" i="7" s="1"/>
  <c r="D47" i="12" s="1"/>
  <c r="Z22" i="7" l="1"/>
  <c r="C36" i="13"/>
  <c r="I34" i="12" l="1"/>
  <c r="C198" i="12" l="1"/>
  <c r="C50" i="12"/>
  <c r="C57" i="12" s="1"/>
  <c r="C35" i="12"/>
  <c r="C206" i="12"/>
  <c r="C56" i="12" l="1"/>
  <c r="C52" i="12"/>
  <c r="C58" i="12"/>
  <c r="C204" i="12"/>
  <c r="AA33" i="9" l="1"/>
  <c r="AA24" i="9"/>
  <c r="AA22" i="9"/>
  <c r="AC22" i="9" s="1"/>
  <c r="D26" i="12" s="1"/>
  <c r="G26" i="12" s="1"/>
  <c r="Z17" i="7" l="1"/>
  <c r="Z15" i="7"/>
  <c r="Z37" i="7" l="1"/>
  <c r="U19" i="9" l="1"/>
  <c r="C8" i="13" l="1"/>
  <c r="AL23" i="9" l="1"/>
  <c r="C38" i="13"/>
  <c r="C34" i="13"/>
  <c r="AA44" i="9"/>
  <c r="AC44" i="9" s="1"/>
  <c r="AC39" i="9" s="1"/>
  <c r="D32" i="12" s="1"/>
  <c r="G32" i="12" s="1"/>
  <c r="G35" i="12" s="1"/>
  <c r="C30" i="13"/>
  <c r="C31" i="13"/>
  <c r="C29" i="13"/>
  <c r="C28" i="13"/>
  <c r="C32" i="13" l="1"/>
  <c r="AA39" i="9"/>
  <c r="AL45" i="9"/>
  <c r="C33" i="13" l="1"/>
  <c r="AL29" i="9"/>
  <c r="AL30" i="9"/>
  <c r="AA28" i="9" l="1"/>
  <c r="Z28" i="7" l="1"/>
  <c r="Z43" i="7" s="1"/>
  <c r="U27" i="7"/>
  <c r="D50" i="12" l="1"/>
  <c r="E46" i="12" l="1"/>
  <c r="E48" i="12"/>
  <c r="E44" i="12"/>
  <c r="C205" i="12"/>
  <c r="C207" i="12" s="1"/>
  <c r="E45" i="12"/>
  <c r="D57" i="12"/>
  <c r="E47" i="12"/>
  <c r="E50" i="12" l="1"/>
  <c r="D205" i="12"/>
  <c r="D206" i="12"/>
  <c r="D204" i="12"/>
  <c r="D207" i="12" l="1"/>
  <c r="AA18" i="9"/>
  <c r="AC18" i="9" s="1"/>
  <c r="C5" i="13"/>
  <c r="C39" i="13" s="1"/>
  <c r="AK49" i="9"/>
  <c r="AH49" i="9"/>
  <c r="AK47" i="9"/>
  <c r="AH47" i="9"/>
  <c r="AK46" i="9"/>
  <c r="AH46" i="9"/>
  <c r="AK45" i="9"/>
  <c r="AH45" i="9"/>
  <c r="AK44" i="9"/>
  <c r="AH44" i="9"/>
  <c r="AK43" i="9"/>
  <c r="AH43" i="9"/>
  <c r="AK42" i="9"/>
  <c r="AH42" i="9"/>
  <c r="AK41" i="9"/>
  <c r="AH41" i="9"/>
  <c r="AK40" i="9"/>
  <c r="AH40" i="9"/>
  <c r="AK39" i="9" l="1"/>
  <c r="AA50" i="9"/>
  <c r="D35" i="12"/>
  <c r="D56" i="12"/>
  <c r="U21" i="7"/>
  <c r="U20" i="7"/>
  <c r="U19" i="7"/>
  <c r="U18" i="7"/>
  <c r="E24" i="12" l="1"/>
  <c r="L24" i="12" s="1"/>
  <c r="G36" i="12"/>
  <c r="D58" i="12"/>
  <c r="E57" i="12" s="1"/>
  <c r="E31" i="12"/>
  <c r="E33" i="12"/>
  <c r="E29" i="12"/>
  <c r="E27" i="12"/>
  <c r="E26" i="12"/>
  <c r="D52" i="12"/>
  <c r="E30" i="12"/>
  <c r="E25" i="12"/>
  <c r="E32" i="12"/>
  <c r="E28" i="12"/>
  <c r="E35" i="12" l="1"/>
  <c r="E56" i="12"/>
  <c r="E5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Ronald Alexander Rodríguez Mena</author>
  </authors>
  <commentList>
    <comment ref="AB19" authorId="0" shapeId="0" xr:uid="{4B8524AA-6BF8-4D82-B57C-D32D1EF8F983}">
      <text>
        <r>
          <rPr>
            <b/>
            <sz val="9"/>
            <color indexed="81"/>
            <rFont val="Tahoma"/>
            <family val="2"/>
          </rPr>
          <t>User:</t>
        </r>
        <r>
          <rPr>
            <sz val="9"/>
            <color indexed="81"/>
            <rFont val="Tahoma"/>
            <family val="2"/>
          </rPr>
          <t xml:space="preserve">
se modifico por medio de I mod presupuestaria</t>
        </r>
      </text>
    </comment>
    <comment ref="AB21" authorId="0" shapeId="0" xr:uid="{6835739B-75C5-4D46-8513-27B163D3796B}">
      <text>
        <r>
          <rPr>
            <b/>
            <sz val="9"/>
            <color indexed="81"/>
            <rFont val="Tahoma"/>
            <family val="2"/>
          </rPr>
          <t>User:</t>
        </r>
        <r>
          <rPr>
            <sz val="9"/>
            <color indexed="81"/>
            <rFont val="Tahoma"/>
            <family val="2"/>
          </rPr>
          <t xml:space="preserve">
se modifico por medio de I mod presupuestaria</t>
        </r>
      </text>
    </comment>
    <comment ref="AB27" authorId="0" shapeId="0" xr:uid="{B566BE0C-E8C3-4270-A0DF-ACF5CF4E7AC1}">
      <text>
        <r>
          <rPr>
            <b/>
            <sz val="9"/>
            <color indexed="81"/>
            <rFont val="Tahoma"/>
            <family val="2"/>
          </rPr>
          <t>User:</t>
        </r>
        <r>
          <rPr>
            <sz val="9"/>
            <color indexed="81"/>
            <rFont val="Tahoma"/>
            <family val="2"/>
          </rPr>
          <t xml:space="preserve">
Se umneta 31,000,000 en servicios profesionales y disminuye 3,000,000 en servicios Diversos I mod </t>
        </r>
      </text>
    </comment>
    <comment ref="AB34" authorId="0" shapeId="0" xr:uid="{045912BF-31DF-4CBC-AC52-18FBFEF80087}">
      <text>
        <r>
          <rPr>
            <b/>
            <sz val="9"/>
            <color indexed="81"/>
            <rFont val="Tahoma"/>
            <family val="2"/>
          </rPr>
          <t>User:</t>
        </r>
        <r>
          <rPr>
            <sz val="9"/>
            <color indexed="81"/>
            <rFont val="Tahoma"/>
            <family val="2"/>
          </rPr>
          <t xml:space="preserve">
Se incluyeron 9,500,000 para reforzar partida de Viajes y Transferencias corrientes, además se reforzo la partidad de ser. Profesionales en el tema Legal
</t>
        </r>
      </text>
    </comment>
    <comment ref="AA37" authorId="1" shapeId="0" xr:uid="{BD5E5B82-94D5-409B-84F5-A9F81EC03B55}">
      <text>
        <r>
          <rPr>
            <b/>
            <sz val="9"/>
            <color indexed="81"/>
            <rFont val="Tahoma"/>
            <family val="2"/>
          </rPr>
          <t>Ronald Alexander Rodríguez Mena:</t>
        </r>
        <r>
          <rPr>
            <sz val="9"/>
            <color indexed="81"/>
            <rFont val="Tahoma"/>
            <family val="2"/>
          </rPr>
          <t xml:space="preserve">
Se rebajo 9.985.865.38, de la iimprobación de la prohibición al funcionario Gerardo Alvarado.                      Se aumenta el monto de 25.773.161.33   , en el rubro de fondos sin asignación  presupuestaria debido a la improbación de prohibición a 3 funcionarios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Ronald Rodriguez Mena</author>
  </authors>
  <commentList>
    <comment ref="AA25" authorId="0" shapeId="0" xr:uid="{4D36B400-A4FA-438B-B1BB-896B4671919A}">
      <text>
        <r>
          <rPr>
            <b/>
            <sz val="9"/>
            <color indexed="81"/>
            <rFont val="Tahoma"/>
            <family val="2"/>
          </rPr>
          <t>Ronald Rodriguez Mena:</t>
        </r>
        <r>
          <rPr>
            <sz val="9"/>
            <color indexed="81"/>
            <rFont val="Tahoma"/>
            <family val="2"/>
          </rPr>
          <t xml:space="preserve">
Se aumentan 39.500.000 em¿n servicios profesionales
</t>
        </r>
      </text>
    </comment>
  </commentList>
</comments>
</file>

<file path=xl/sharedStrings.xml><?xml version="1.0" encoding="utf-8"?>
<sst xmlns="http://schemas.openxmlformats.org/spreadsheetml/2006/main" count="1605" uniqueCount="587">
  <si>
    <t xml:space="preserve">FICHA TECNICA DEL INDICADOR </t>
  </si>
  <si>
    <t>NOMBRE DE LA INSTITUCIÓN:</t>
  </si>
  <si>
    <t>INSTITUTO DE FOMENTO Y ASESORIA MUNICIPAL (IFAM)</t>
  </si>
  <si>
    <t xml:space="preserve">NOMBRE DEL JERARCA DE LA INSTITUCIÓN: </t>
  </si>
  <si>
    <t>Msc. MARCELA GUERRERO CAMPOS</t>
  </si>
  <si>
    <t>SECTOR:</t>
  </si>
  <si>
    <t>VIVIENDA Y ASENTAMIENTOS HUMANOS</t>
  </si>
  <si>
    <t>MINISTRO(A) RECTOR(A):</t>
  </si>
  <si>
    <t>Msc. IRENE CAMPOS BRENES</t>
  </si>
  <si>
    <t>Ficha técnica del indicador (UGSTF-Meta 1)</t>
  </si>
  <si>
    <t xml:space="preserve">Nombre del indicador: </t>
  </si>
  <si>
    <t>Elemento</t>
  </si>
  <si>
    <t>Descripción</t>
  </si>
  <si>
    <t>Nombre del indicador</t>
  </si>
  <si>
    <t>1. Cantidad de financiamientos aprobados y con contrato firmado .   2.Porcentaje de Ejecución de recursos disponibles para financiamiento. (Desembolsos)</t>
  </si>
  <si>
    <t>Definición conceptual</t>
  </si>
  <si>
    <t xml:space="preserve">Financiamiento de al menos 10 proyectos de inversión  nuevos  en ejecución que contribuyan al mejoramiento del Régimewn municipal  (PNDIP 2019-2022)     </t>
  </si>
  <si>
    <t xml:space="preserve">Fórmula de cálculo </t>
  </si>
  <si>
    <t>(Cantidad actividades ejecutadas POI-UID-2020 / Cantidad actividades programadas POI-UID-2020) x 100</t>
  </si>
  <si>
    <t>Componentes involucrados en la fórmula del cálculo</t>
  </si>
  <si>
    <t xml:space="preserve">Cantidad de créditos formalizados y Cantidad de recursos desembolsados </t>
  </si>
  <si>
    <t>Unidad de medida</t>
  </si>
  <si>
    <t>1. Cantidad de proyectos financiados                                                                                                  2. Porcentaje de recursos de sembolsados</t>
  </si>
  <si>
    <t>Interpretación</t>
  </si>
  <si>
    <t>En el período de evaluación se formalizaron "n" cantidad de financiamientos.                                                                                                                  En el período de evaluación se desembolsaron "n" cantidad de fondos</t>
  </si>
  <si>
    <t>Desagregación</t>
  </si>
  <si>
    <t>Geográfica</t>
  </si>
  <si>
    <t>Temática</t>
  </si>
  <si>
    <t>Los proyectos se desarrollan en las particularidades y necesidades de cada territorio</t>
  </si>
  <si>
    <t>Línea base</t>
  </si>
  <si>
    <t>10 proyectos/  80% de los desembolsos</t>
  </si>
  <si>
    <t>Meta</t>
  </si>
  <si>
    <t>1.) 10 proyexctos aprobados y cn contrato                                                                                        2) 100% de cumplimiento.de desembolsos</t>
  </si>
  <si>
    <t xml:space="preserve">Periodicidad </t>
  </si>
  <si>
    <t>Anual</t>
  </si>
  <si>
    <t>Fuente de información</t>
  </si>
  <si>
    <t>Tabla de desembolsos                                                                                                       Financiamientos aprobados y con convenio                                                              Desembolsos y transferencias</t>
  </si>
  <si>
    <t>Clasificación</t>
  </si>
  <si>
    <t>( X) Impacto.</t>
  </si>
  <si>
    <t>( ) Efecto.</t>
  </si>
  <si>
    <t>(x) Producto.</t>
  </si>
  <si>
    <t>Tipo de operación estadística</t>
  </si>
  <si>
    <t>Porcentaje de Financiamientos                                                                                                       Cantidad de recursos desembolsados</t>
  </si>
  <si>
    <t>Comentarios generales</t>
  </si>
  <si>
    <t xml:space="preserve">Esta meta tiene dos indicadores; el primero de eficacia que se relaciona con la cantidad de proyectos formalizados y aprobados cada año  y el segundo indicador es de eficiencia , que se relaciona con los desembolsos de los proyectos y la ejecución de los fondos disponibles. Lo anterior ya que existen proyectos que estan programados para más de un año calendario su ejecución.       </t>
  </si>
  <si>
    <t>Ficha técnica del indicador (UGSTF-Meta 2)</t>
  </si>
  <si>
    <t xml:space="preserve">Nombre del indicador </t>
  </si>
  <si>
    <t>Porcentaje de acciones de socialización y capacitación sobre el uso de los manuales ejecutadas.</t>
  </si>
  <si>
    <t>Se refiere a acciones tendientes a incidir en el mejoramiento de las condiciones de las municipalidades para incidir en la planificación y ordenamiento de su territorio.</t>
  </si>
  <si>
    <t>Porcentaje de acciones de socialización y capacitación sobre el uso de los manuales para la elaboración de Plan Reguladores costeros en la ZMT y ordenamiento territorial.</t>
  </si>
  <si>
    <t>Acciones de socialización y capacitación debidamente elaborados.</t>
  </si>
  <si>
    <t>Porcentaje.</t>
  </si>
  <si>
    <t>En el período de evaluación se elaboraron "n" cantidad de acciones de socialización y capacitación sobre uso de manual para la elaboración de planes de uso del territorio, con las municipalidades.</t>
  </si>
  <si>
    <t>Las acciones de socialización y capacitación se realizarán por territorio.</t>
  </si>
  <si>
    <t>50% de acciones de socialización y capacitación debidamente elaborados en el 2019.</t>
  </si>
  <si>
    <t>La información se obtiene del control que llevaría el Departamento de  Gestión y Fortalecimiento Municipal de los proyectos de investigación elaborados.</t>
  </si>
  <si>
    <t>( ) Impacto.</t>
  </si>
  <si>
    <t>( X) Efecto.</t>
  </si>
  <si>
    <t>( ) Producto.</t>
  </si>
  <si>
    <t>Porcentaje de proyectos de investigación debidamente elaborados en un período de tiempo determinado.</t>
  </si>
  <si>
    <t>La meta de este indicador se estableció con base en una proyección de presupuesto para el año 2020, al contarse con el monto real en setiembre del presupuesto ordinario, se ajustará.</t>
  </si>
  <si>
    <t>Ficha técnica del indicador (UGSTF-Meta 3)</t>
  </si>
  <si>
    <t>Porcentaje de Proyectos de inversión ejecutados, mediante la captura de plusvalía en los territorios.</t>
  </si>
  <si>
    <t>Proyectos urbanos ejecutados, mediante la captura de plusvalía.</t>
  </si>
  <si>
    <t>Porcentaje de Proyectos de inversión programados/Porcentaje de proyectos tramitados y ejecutados.</t>
  </si>
  <si>
    <t>Proyectos de inversión debidamente ejecutados.</t>
  </si>
  <si>
    <t>Porcentaje</t>
  </si>
  <si>
    <t>Se refiere a la ejecución de proyectos que dinamicen la inversión en territorios que permitan captar plusvalía.</t>
  </si>
  <si>
    <t>Los proyectos de inversión, mediante la captura de plusvalía, se desarrollarán por territorios, que tomen en cuenta distintos cantones con condiciones más homogéneas.</t>
  </si>
  <si>
    <t>25% de proyectos de inversión debidamente ejecutados en el 2019.</t>
  </si>
  <si>
    <t>La información se obtiene del control que llevaría el Departamento de  Gestión y Fortalecimiento Municipal de los proyectos de inversión ejecutados.</t>
  </si>
  <si>
    <t>(x) Impacto.</t>
  </si>
  <si>
    <t>Porcentaje de proyectos de inversión debidamente ejecutados en un período de tiempo determinado.</t>
  </si>
  <si>
    <t>La meta de este indicador se estableció con base en una proyección de presupuesto para el año 2019, al contarse con el monto real  del presupuesto ordinario en setiembre, se ajustará.</t>
  </si>
  <si>
    <t>Ficha técnica del indicador (UGSTF-Meta 4)</t>
  </si>
  <si>
    <t>Porcentaje de diseño de herramientas de captura de plusvalía para el financiamiento de proyectos urbanos.</t>
  </si>
  <si>
    <t>% de avance programado para la ejecución del Manual de herramientas de captura de plusvalía/ % de avance ejecutado x 100.</t>
  </si>
  <si>
    <t>% de los Manuales de herramienta de captura de plusvalía debidamente ejecutados.</t>
  </si>
  <si>
    <t>Valorizar el uso de suelo a través de Manual de herramientas que capturen la plusvalía generada para su reinversión.</t>
  </si>
  <si>
    <t>Los proyectos de inversión, mediante la captura de plusvalía, se identifican por ubicación urbana.</t>
  </si>
  <si>
    <t xml:space="preserve"> 50% de avance de los  disñeo de los Manuales de herramientas de captura de plusvalía debidamente ejecutados.</t>
  </si>
  <si>
    <t>La información se obtiene del control que llevaría el Departamento de  Gestión y Fortalecimiento Municipal del diseño de los Manuales de herramientas ejecutados.</t>
  </si>
  <si>
    <t>Porcentaje de diseño de Manuales  de herramientas  ejecutados para uso de las Municipalidades en un período de tiempo determinado.</t>
  </si>
  <si>
    <t>Ficha técnica del indicador (UGSTF-Meta 5)</t>
  </si>
  <si>
    <t>Porcentaje de Proyectos para el desarrollo de capacidades locales de adaptación al cambio climático ejecutados.</t>
  </si>
  <si>
    <t>Desarrollo de proyectos piloto de adaptación al cambio climático en el ámbito local.</t>
  </si>
  <si>
    <t>Porcentaje de proyectos    para el desarrollo de capacidades locales de adaptación al cambio climático,  programados/Porcentaje de proyectos     para el desarrollo de capacidades locales de adaptación al cambio climático, ejecutados x 100.</t>
  </si>
  <si>
    <t>Proyectos de investigación debidamente ejecutados.</t>
  </si>
  <si>
    <t>Se refiere a proyectos que propicien la generación de competencias municipales para que la ciudadanía, sus bienes, el ambiente, la flora y fauna de los distintos territorios se adapte mejor a los proceso de cambio climático, mediante acciones de desarrollo regenerativo.</t>
  </si>
  <si>
    <t>Los proyectos  para el desarrollo de capacidades locales de adaptación al cambio climático, son identificados por ubicación geográfica urbano y rural.</t>
  </si>
  <si>
    <t>25% de proyectos para el desarrollo de capacidades locales de adaptación al cambio climático, ejecutados en el 2019.</t>
  </si>
  <si>
    <t>La información se obtiene del control que llevaría el Departamento de  Gestión y Fortalecimiento Municipal de los proyectos para el desarrollo de capacidades locales de adaptación al cambio climático.</t>
  </si>
  <si>
    <t>Porcentaje de proyectos  para el desarrollo de capacidades locales de adaptación al cambio climático, ejecutados en un período de tiempo determinado.</t>
  </si>
  <si>
    <t>La meta de este indicador se estableció con base en una proyección de presupuesto para el año 2019, al contarse con el monto real en setiembre del presupuesto ordinario, se ajustará.</t>
  </si>
  <si>
    <t>Ficha técnica del indicador (UGSTF-Meta 6)</t>
  </si>
  <si>
    <t>Porcentaje de Convenios firmados entre instituciones y Municipalidades.</t>
  </si>
  <si>
    <t>Convenios para el desarrollo de proyectos con articulación cantonal e interinstitucional abarcando ámbito económico, social, ambiental y cultural.</t>
  </si>
  <si>
    <t>Porcentaje de convenios  para desarrollo de proyectos, entre instituciones y municipalidades programados/Porcentaje de convenios  para desarrollo de proyectos, entre instituciones y municipalidades firmados x 100.</t>
  </si>
  <si>
    <t>Convenios  para desarrollo de proyectos, entre instituciones y municipalidades firmados.</t>
  </si>
  <si>
    <t>Se refiere al establecimiento de convenios que permitan el  trabajo conjunto con distintas instituciones en los ámbitos nacional, regional y local y en los temas de económicos, sociales, ambientales y culturales.</t>
  </si>
  <si>
    <t>Los convenios  para desarrollo de proyectos, entre instituciones y municipalidades son identificados por ubicación geográfica cantonal.</t>
  </si>
  <si>
    <t>25% de convenios para desarrollo de proyectos,  entre instituciones y municipalidades debidamente firmados en el 2019.</t>
  </si>
  <si>
    <t>La información se obtiene del control que llevaría el Departamento de  Gestión y Fortalecimiento Municipal de los convenios para el desarrollo de proyectos,  entre instituciones y municipalidades.</t>
  </si>
  <si>
    <t>Porcentaje de convenios para desarrollo de proyectos,  entre instituciones y municipalidades  firmados en un período de tiempo determinado.</t>
  </si>
  <si>
    <t>Ficha técnica del indicador (UGSTF-Meta 7)</t>
  </si>
  <si>
    <t>Porcentaje de acuerdos de cooperación financiera firmados entre municipalidades y organismos financieros, nacionales e internacionales.</t>
  </si>
  <si>
    <t>Acuerdos de cooperación financiera para el desarrollo de proyectos con articulación cantonal e interinstitucional abarcando ámbito económico, social, ambiental y cultural.</t>
  </si>
  <si>
    <t>Porcentaje de acuerdos de cooperación financiera  para desarrollo de proyectos, entre  municipalidades  y organismos, nacionales e internacionales programados/Porcentaje de acuerdos de cooperación financiera  para desarrollo de proyectos, entre  municipalidades  y organismos, nacionales e internacionales firmados x 100.</t>
  </si>
  <si>
    <t>Proyectos de investigación debidamente elaborados.</t>
  </si>
  <si>
    <t xml:space="preserve">Comprende el establecimiento de acuerdos con organismos que generen un más abundante cartera crediticia. </t>
  </si>
  <si>
    <t>Los acuerdos  de cooperación financiera para el desarrollo de proyectos, entre municipalidades y organismos, nacionales e internacionales son identificados por ubicación geográfica cantonal.</t>
  </si>
  <si>
    <t>25% de acuerdos de cooperación financiera para el desarrollo de proyectos, entre municipalidades y organismos, nacionales e internacionales  firmados en el 2019.</t>
  </si>
  <si>
    <t>El cálculo del indicador se tendría de forma anual.</t>
  </si>
  <si>
    <t>La información se obtiene del control que llevaría el Departamento de  Gestión y Fortalecimiento Municipal de los acuerdos para el desarrollo de proyectos,  entre  municipalidades y organismos, nacionales e internacionales.</t>
  </si>
  <si>
    <t>Porcentaje de acuerdos de cooperación financiera para el desarrollo de proyectos,  entre  municipalidades  y organismos, nacionales e internacionales elaborados en un período de tiempo determinados.</t>
  </si>
  <si>
    <t>MATRIZ DE ARTICULACION PLAN PRESUPUESTO 2020</t>
  </si>
  <si>
    <t>Nombre de la Institución: Instituto de Fomento y Asesoria Municipal</t>
  </si>
  <si>
    <t>Nombre del Jerarca de la Institución : Marcela Guerrero Campos</t>
  </si>
  <si>
    <t>Sector: Ordenamiento Territorial y Asentamientos Humanos</t>
  </si>
  <si>
    <t>Ministro(a) Rector(a)  Irene Campos Gómez</t>
  </si>
  <si>
    <t>OBJETIVO NACIONAL: Generar un crecimiento económico inclusivo en el ámbito nacional y regional en armonía con el ambiente , generando empleos de calidad , reduciendo la pobreza y la desigualdad</t>
  </si>
  <si>
    <t>PLAN NACIONAL DE DESARROLLO E INVERSION PUBLICA 2019-2022 (PNDIP) -PLAN ESTRATÉGICO INSTITUCIONAL 2015-2020</t>
  </si>
  <si>
    <t>PROGRAMACIÓN ESTRATÉGICA PRESUPUESTARIA</t>
  </si>
  <si>
    <t>ODS VINCULADO</t>
  </si>
  <si>
    <t xml:space="preserve">AREA ESTRATEGICA </t>
  </si>
  <si>
    <t xml:space="preserve">OBJETIVO DEL AREA </t>
  </si>
  <si>
    <t xml:space="preserve">
INTERVENCION ESTRATEGICA</t>
  </si>
  <si>
    <t>OBJETIVO INTERVENCION ESTRATEGICA</t>
  </si>
  <si>
    <t>INDICADOR DE LA INTERVENCION ESTRATEGICA</t>
  </si>
  <si>
    <t>LINEA BASE DEL INDICADOR (Regional cuando proceda)</t>
  </si>
  <si>
    <t>META DEL PERIODO (regional cuando proceda)</t>
  </si>
  <si>
    <t>COBERTURA GEOGRAFICA POR REGION</t>
  </si>
  <si>
    <t>EJE ESTRATÉGICO</t>
  </si>
  <si>
    <t>OBJETIVO ESTRATÉGICO INSTITUCIONAL (PEI)</t>
  </si>
  <si>
    <t>CODIGO Y NOMBRE DEL  PROGRAMA O SUBPROGRAMA PRESUPUESTARIO</t>
  </si>
  <si>
    <t>PRODUCTO FINAL (BIENES/
SERVICIOS)</t>
  </si>
  <si>
    <t>UNIDAD DE MEDIDA DEL PRODUCTO</t>
  </si>
  <si>
    <t>POBLACIÓN META</t>
  </si>
  <si>
    <t>INDICADORES DE PRODUCTO FINAL</t>
  </si>
  <si>
    <t xml:space="preserve">LÍNEA BASE
</t>
  </si>
  <si>
    <t xml:space="preserve">METAS DEL INDICADOR </t>
  </si>
  <si>
    <t>ESTIMACIÓN ANUAL DE RECURSOS PRESUPUESTARIOS  (en millones de colones)</t>
  </si>
  <si>
    <t>EJECUCIÓN FÍSICA
ANUAL 2020</t>
  </si>
  <si>
    <t xml:space="preserve">EJECUCIÓN FÍSICA
ANUAL 2018 </t>
  </si>
  <si>
    <t>EJECUCIÓN FINANCIERA ANUAL 2020</t>
  </si>
  <si>
    <t>MONTO ANUAL EJECUTADO</t>
  </si>
  <si>
    <t>SUPUESTOS, NOTAS TÉCNICAS Y OBSERVACIONES</t>
  </si>
  <si>
    <t>DESCRIPCIÓN</t>
  </si>
  <si>
    <t>CANTIDAD</t>
  </si>
  <si>
    <t>USUARIO (A)</t>
  </si>
  <si>
    <t>HOMBRES</t>
  </si>
  <si>
    <t>MUJERES</t>
  </si>
  <si>
    <t>MONTO</t>
  </si>
  <si>
    <t>MONTO (Rebajo y/o aumento modificaciones)</t>
  </si>
  <si>
    <t>TOTAL PROGRAMADO PARA EL PERIODO</t>
  </si>
  <si>
    <t>RESPONSABLE</t>
  </si>
  <si>
    <t>FUENTE DE FINANCIAMIENTO</t>
  </si>
  <si>
    <t xml:space="preserve">1 Semestre </t>
  </si>
  <si>
    <t xml:space="preserve">2 Semestre </t>
  </si>
  <si>
    <t>MONTO TOTAL Ejecutado I Semestre</t>
  </si>
  <si>
    <t>MONTO TOTAL Ejecutado II Semestre</t>
  </si>
  <si>
    <r>
      <t xml:space="preserve">ANUAL
</t>
    </r>
    <r>
      <rPr>
        <b/>
        <sz val="8"/>
        <color theme="9" tint="-0.499984740745262"/>
        <rFont val="Arial"/>
        <family val="2"/>
      </rPr>
      <t>(2020)</t>
    </r>
  </si>
  <si>
    <t>I SEMESTRE</t>
  </si>
  <si>
    <t>II SEMESTRE</t>
  </si>
  <si>
    <t>DESEMPEÑO PROYECTADO</t>
  </si>
  <si>
    <t>FF</t>
  </si>
  <si>
    <t>JUNTA DIRECTIVA</t>
  </si>
  <si>
    <t>Objetivo 1: Poner fin a la pobreza en todas sus formas y el Objetivo 11: Lograr que las ciudades y los asentamientos humanos sean inclusivos, seguros, resilientes y sostenibles.</t>
  </si>
  <si>
    <t xml:space="preserve">Desarrollo Territorial </t>
  </si>
  <si>
    <t>Articular, coordinar y dar seguimiento a proyectos que generen crecimiento inclusivo y fuentes de empleo, con base en las particularidades de cada territorio</t>
  </si>
  <si>
    <t>5. Programa de financiamiento de proyectos de desarrollo local y generación de competencias municipales.</t>
  </si>
  <si>
    <t>Gestionar el desarrollo local, a partir de la ejecución de proyectos que mejoren la calidad de vida de la población y el ambiente.</t>
  </si>
  <si>
    <t>Cantidad de nuevos proyectos financiados en ejecución</t>
  </si>
  <si>
    <t>2017: 19 proyectos financiados en ejecución</t>
  </si>
  <si>
    <t>2019-2022
40 proyectos                                                                                       2020                    10 Proyectos</t>
  </si>
  <si>
    <t>Nacional</t>
  </si>
  <si>
    <t>Prestación de servicios de calidad oportuna</t>
  </si>
  <si>
    <t>Satisfacer a las Municipalidades  con los servicios.</t>
  </si>
  <si>
    <t>1.01.Junta Directiva</t>
  </si>
  <si>
    <t>Acuerdos aprobados por la Junta Directiva</t>
  </si>
  <si>
    <t>Cantidad de acuerdos aprobados por Junta Directiva redactados y comunicados</t>
  </si>
  <si>
    <t>internos y externos</t>
  </si>
  <si>
    <t>ND</t>
  </si>
  <si>
    <t xml:space="preserve">Porcentaje de acuerdos tramitados </t>
  </si>
  <si>
    <t>Marcela Guerrero Campos</t>
  </si>
  <si>
    <t>Recursos Propios</t>
  </si>
  <si>
    <t>Recursos propios</t>
  </si>
  <si>
    <t xml:space="preserve"> En el primer trimestre la Junta Directiva tomó 63 acuerdos que van del oficio JD-001--20 al  JD-051-20, que se desglosan de la siguiente manera:  En enero la Junta Directiva tomó 14 acuerdos, en febrero 25 acuerdos y en marzo 24 acuerdos.  Se aclara que algunos acuerdos no se les asigna número de oficio porque son de ejecución inmediata, por lo la númeración no coincide con la cantidad de acuerdos.</t>
  </si>
  <si>
    <t>AUDITORIA INTERNA</t>
  </si>
  <si>
    <t>Tener una  imagen positiva en la ciudadanía</t>
  </si>
  <si>
    <t>1.02. Auditoria Interna</t>
  </si>
  <si>
    <t xml:space="preserve"> Ejecución de los productos y servicios generados de la Auditoría Interna </t>
  </si>
  <si>
    <t xml:space="preserve">Productos y servicios generados  por la Auditoría Interna,:                                                 1. Elaboración de estudios de auditoría en total 8.                                                                    2. Autorización de Libros, sujeto a solicitud de las Unidades, se estiman 6.                                                                 3. Asesorías, se estiman una cantidad de 10.                                                             4. Advertencias, aproximadamente 2.                                                                         5. Rendición de cuentas, aproximadamente.6.                                 6.  En total se estiman 32 actividades. </t>
  </si>
  <si>
    <t>Internos y Externos</t>
  </si>
  <si>
    <t>Cantidad de productos y servicios entregados</t>
  </si>
  <si>
    <t>Juan Jácamo Chacón</t>
  </si>
  <si>
    <t xml:space="preserve">La elaboración de Notas de Asesoría, así como la legalización de libros está sujeta a la solicitud de la Unidades Administrativas. No depende de la Auditoría Interna.                                                                Se elaboraron 3 informes de Auditoría: N° 01-2020 "Evaluación del proceso de Reclut. Y Sel. de personal (Ampl. Informe N°12-2017)"Oficio JD-AI-0046-2020 del 04-03-2020.  N° 02-2020 "Fiscalización Tributaria del IFAM" oficio N° JD-AI-002-2020 del 31-01-2020. " y N° 03-2020 "Contratación Adva. de Serv. de Gestión y Apoyo" Oficio N° JD-AI-0012-2020 del 31-01-2020.                                  Se efectuó 1 apertura de Libro de Actas de la Comisión de Contrat. Adva. oficoi N° JD-AI-0001-2020 del 09-01-2020.                                    Se efectuaron 5 informes de Rendición de Cuentas: Inclusión MACU 2019 AI-CE-001-2020 del 13-01-2020. Contraloría General de la Rep. sobre informes realizados en TI, Oficio JD-AI-0010-2020 del 29-01-2020. Inf. Labores  Auditoría  Interna año 2019, oficio N° JD-AI-0025-2020 del 19-02-2020. Riesgos Auditoría Int. I Trim 2020, AI-CE-0049-2020 del 27-03-2020. Informe Memoria A.I . 2019-2020, oficio N° JD-AI-0063-2020 del 27-03-2020 </t>
  </si>
  <si>
    <t>CONTRALORIA DE SERVICIOS</t>
  </si>
  <si>
    <t xml:space="preserve">Ser percibido por  las Municipalidades como un socio estratégico </t>
  </si>
  <si>
    <t>1.03. Contraloria de Servicios</t>
  </si>
  <si>
    <t>Productos y servicios generados  por  la Contraloria de Servicios</t>
  </si>
  <si>
    <t xml:space="preserve">Productos y servicios generados:                         1.Atención de inconformidades.                            2.Estudio de servicios sustantivos brindados por IFAM.                                                          3.Puesta en marcha de aplicación informática para contraloria de servicios municipales.                                                      </t>
  </si>
  <si>
    <t>Porcentaje de productos y servicios entregados</t>
  </si>
  <si>
    <t>Esta meta , no se ha ejecutado debido a que no se cuenta con el profesional en esa area</t>
  </si>
  <si>
    <t>PRESIDENCIA EJECUTIVA</t>
  </si>
  <si>
    <t>1.04. Presidencia Ejecutiva</t>
  </si>
  <si>
    <t>Plan de Comunicación Institucional</t>
  </si>
  <si>
    <t>Realizar la contratación del  plan  que incluirá la estrategia institucional de comunicación para el periodo correspondiente.                                       Incluye comunicados de prensa, publicidad, gestión de medios y relaciones públicas.                                               Incluye  Estrategia de Comunicación Política y renovación de imagen institucional, buscando mejorar los beneficios para el sector municipal</t>
  </si>
  <si>
    <t>Externos</t>
  </si>
  <si>
    <t>Porcentaje de cumplimiento de ejecución del Plan de comunicación según los términos y los alcances de la contratación .</t>
  </si>
  <si>
    <t xml:space="preserve"> Esta meta ya esta ejecutiada, se modifico el objetivo para realizar el rediseño de marca de la institución.</t>
  </si>
  <si>
    <t>Programa: 02-03 Unidad de Gesión de Servicios Técnicos y de Financiamiento</t>
  </si>
  <si>
    <t>Ventanilla Única  Región Huetar Caribe (Acuerdo JD-128-19/ acuerdo 6, articulo 11. SO N°19- 12/06/2019</t>
  </si>
  <si>
    <t>Lograr la implementación de la ventanilla Única de la Región Huetar Caribe con el fin de mejorar las condiciones de comptetividad buscando un desarrollo economico territorial  de la región.</t>
  </si>
  <si>
    <t>Porcentaje de avance en la implementación de la ventanilla única  Región Huetar Caribe, según lo programado</t>
  </si>
  <si>
    <t>Este proyecto se realizará en el forma conjunta con el MEIC,PROCOMER e IFAM, se realizará mediante una donación y se realizará la contratación para la implementación y desarrollo del mismo. La Supervisión se realizará por parter de la Presidencia . Esta meta , esta ejecutada hasta el contrato, que por la situación del COVID-19 se encuentra suspendido hasta nuevo aviso por parte de las autoridades competentes.</t>
  </si>
  <si>
    <t>Ejecución de los productos y servicios generados por la Presidencia Ejecutiva</t>
  </si>
  <si>
    <t>Productos y servicios entregados por parte de la Presidencia ejecutiva:                                                     1) Agenda estratégica                                                         2) Alianzas estratégicas                                                       3) Recomendaciones y disposiciones cumplidas                                                             4)Coordinación con los diferentes sectores para el mejoramiento municipal                                                           5) Normativa para fortalecer el régimen municipal</t>
  </si>
  <si>
    <t>Internos y externos</t>
  </si>
  <si>
    <t xml:space="preserve"> 1) Agenda estratégica La  Presidencia  tiene una agenda estratégica que responde a las necesidades de la institución y los municipios.     2) Alianzas estratégicas, actualmente se estan elaborando los siguientes  convenios:Convenio Marco y Especifico con el Colegio Federado de Ingenieros y Arquitectos, para  fortalecer el tema de capacitaciones,   el  Convenio Especifico para temas de capacitación AYA-IFAM,  Convenio entre el Bolsa de Valores-IFAM.     3) Recomendaciones y disposiciones cumplidas                            4)Coordinación con los diferentes sectores para el mejoramiento municipal, actualmente con el tema de la emergencia se han realizado  coordinaciones Minsiterio de Salud, CNE y otros instituciones con el fin de brindarle a las municipalalidades  la información que requieran durante la Emergencia.                                5 ) Normativa para fortalecer el régimen municipal</t>
  </si>
  <si>
    <t>ASESORIA JURIDICA</t>
  </si>
  <si>
    <t>Sostenibilidad financiera</t>
  </si>
  <si>
    <t xml:space="preserve">Gestionar  los recursos  de leyes que se encuentran vigentes  </t>
  </si>
  <si>
    <t>1.05.Asesoría Jurídica</t>
  </si>
  <si>
    <t>Atender en tiempo y forma los  requerimientos propios de la Aseroría  Jurídica en materia  tributaria</t>
  </si>
  <si>
    <t>Porcentaje  de los requerimientos recibidos o solicitados,  en materia  tributaria</t>
  </si>
  <si>
    <t>Marcia Baltodano  Bolaños</t>
  </si>
  <si>
    <t>30% correspondiente a salarios.         La Asesoría Jurídica, atiende todo lo referido a la gestión tributaria, por tratarse el IFAM de dministración tributaria. Asimismo, incluirá a un funionario en esta gestión con el fin de que realice gectión tributaria y eventualmente sustituya al servidor que oportunamente se jubilará. Se han atendido 4 procesos tributarios en lo que va del año</t>
  </si>
  <si>
    <t xml:space="preserve"> Ejecutar oportunamente el presupuesto </t>
  </si>
  <si>
    <t>Atención del 100% de los requerimientos legales y judiciales en donde el IFAM sea requerido</t>
  </si>
  <si>
    <t>Atención de requerimientos solicitados por la administración,  la Junta Directiva del IFAM o despachos judiciales.</t>
  </si>
  <si>
    <t>Porcentaje de los requerimientos recibidos o solicitados, por la administración,  laJunta Directiva del IFAM o despachos judiciales.</t>
  </si>
  <si>
    <t>PLANIFICACIÓN INSTITUCIONAL</t>
  </si>
  <si>
    <t>Aportar al mejoramiento Municipal</t>
  </si>
  <si>
    <t>1.06. Planificación Institucional</t>
  </si>
  <si>
    <t>Ejecución de los productos y servicios generados por la Unidad de planificación institucional .</t>
  </si>
  <si>
    <t>Productos entregados por parte de la Unidad de Planificación institucional:                                     1)Elaboración de presupuesto           2)Evaluación del POI                          3)Seguimiento PEI 2015-2020                              4) Control interno y SEVRI  .                            5) Indice de gestión institucional y elaboración de procedimientos de la UPI</t>
  </si>
  <si>
    <t xml:space="preserve">% de ejecución de productos y servicios  de la Unidad de de Planificación Institucional </t>
  </si>
  <si>
    <t>Nereyda Azofeifa Rivas</t>
  </si>
  <si>
    <t>DIRECCIÓN EJECUTIVA</t>
  </si>
  <si>
    <t>Ejecutar oportunamente el presupuesto</t>
  </si>
  <si>
    <t>1.07. Dirección Ejecutiva</t>
  </si>
  <si>
    <t>Informe de ejecución del POI- presupuesto</t>
  </si>
  <si>
    <t>Elaborar informe de seguimiento oportuno del cumplimiento del POI, del Plan de Compras y de la ejecución presupuesataria mensual; se procurará alcanzar una mejor ejecución del presupuesto anual</t>
  </si>
  <si>
    <t>Interno</t>
  </si>
  <si>
    <t>Presupuesto ejecutado/ presupuesto aprobado.</t>
  </si>
  <si>
    <t>Christian Alpízar Alfaro</t>
  </si>
  <si>
    <t>La ejecucuón por título presupuestario a la fecha es de un 24% según el CAFI.
Mensualmente, se emiten los reportes de ejecución por dependencia administrativa y los informes de seguimiento al plan de compras.
Producto de la emergencia nacional por el covid-19; según consta en el oficio JD-054-20, del 04 de 2020, mediante “acuerdo primero, capítulo uno de la sesión extraordinaria No. 10-2020, celebrada el día 04 de abril de 2020, la Junta Directiva del Instituto dispuso autorizar a aquellas corporaciones municipales que así lo requieran expresa y formalmente, un aplazamiento del servicio a las deudas que mantienen con la Institución, hasta por un período máximo e improrrogable de seis meses, contemplado del 01 de abril de 2020 hasta el 30 de septiembre de 2020, de conformidad con el artículo 79 del Reglamento de Financiamiento del Instituto de Fomento y Asesoría Municipal (IFAM). 
Además, se está revisando el presupuesto operativo para valorar algunos recortes presupuestarios, producto de lo anterior.</t>
  </si>
  <si>
    <t xml:space="preserve">Cumplir con las disposiciones de los diferentes órganos  reguladores </t>
  </si>
  <si>
    <t>Informes de cumplimiento de acuerdos  y recomendaciones.</t>
  </si>
  <si>
    <t>Los informes de cumplimiento de las recomendaciones de la Auditoría Interna, de los Acuerdos de Junta Directiva, o de otros entes, como la CGR.</t>
  </si>
  <si>
    <t>NA</t>
  </si>
  <si>
    <t xml:space="preserve"> Número de recomendaciones implementadas/ número de  recomendaciones giradas por los órganos reguladores.</t>
  </si>
  <si>
    <t xml:space="preserve">Se puede evidenciar el cumpliento a través de los siguientes oficios: 
1.	DE-0122-2020
2.	JD-024-2020
3.	DGFM-0044-2020
4.	DGFM-0045-2020
5.	DGFM-0046-2020
6.	DGFM-0047-2020
7.	DGFM-0048-2020
8.	DGFM-0049-2020
9.	DGFM-0059-2020
10.	DGFM-0060-2020
11.	DGFM-0061-2020
12.	DGFM-0065-2020
13.	DGFM-0108-2020
14.	DGFM-0110-2020
15.	DGFM-UGSTF-0149-2020
16.	DGFM-UGSTF-0154-2020
17.	DGFM-UGSTF-0156-2020
18.	DGFM-UGSTF-0161-2020
19.	DGFM-UGSTF-0163-2020
20.	DGFM-UGSTF-0164-2020
21.	DGFM-UGSTF-0184-2020
22.	DE-0347-2020 
23.	DE-0348-2020
24.	DE-0405-2020 
25.	DE-0361-2020 
26.	DE-0406-2020  
27.	DE-0364-2020 
28.	DE-0213-2020 
29.	DE-0214-2020
30.   Informe de seguimiento de acuerdos de Junta Directiva
</t>
  </si>
  <si>
    <t>DEPARTAMENTO HACENDARIO</t>
  </si>
  <si>
    <t>1.08.Departamento Hacendario</t>
  </si>
  <si>
    <t xml:space="preserve">Ejecución de los productos y servicios generados por del Departamento Hacendario con supervisión al cumplimiento </t>
  </si>
  <si>
    <t>Productos y servicios generados por el deparatamento hacendario :                                                      1. Gestión Tributaria                                               2. Fiscalización Tributaria                                      3. Recaudación Tributaria.                         4.Informes Presupuestarios(12 al año)    5.Liquidaciones Presupuestarias.               6.Informes trimestrales de ejecución      7.Elaboración de documentos presupuestarios.                                    8.Programación y realización de inversiones.                                             9.Gestión proia de la tesoreria(Pagos, caja chica, depositos bancarios, Viaticos, entre  otros)</t>
  </si>
  <si>
    <t>N/A</t>
  </si>
  <si>
    <t>% de ejecucón de productos y servicios del Departamento Hacendario  con supervición al cumplimiento</t>
  </si>
  <si>
    <t>Adrián Salazar Vega</t>
  </si>
  <si>
    <t xml:space="preserve"> 1.	GESTIÓN TRIBUTARIA
•	El 20 de noviembre de 2019 y jueves 27 de febrero de 2020 se actualizó y se publicó en Gaceta el factor del impuesto de la cerveza nacional y extranjera correspondiente al I y II trimestre de 2020 respectivamente.
•	El martes 07 de enero de 2020, se publicó en la Gaceta la primera actualización de la tasa de interés.
•	Se revisaron las declaraciones de ventas y el pago de impuestos de los sujetos pasivos de licores y cervezas nacionales, y se hicieron los ajustes correspondientes, posteriormente se comunicó a los sujetos pasivos el resultado, con lo cual algunos sujetos pasivos regularizaron su situación tributaria, como los Cervecería Escazú y Treinta y cinco.
•	Se informo mediante correos masivos del 18 de diciembre de 2019, 17 de enero de 2020 y 18 de marzo de 2020 a los sujetos pasivos de los cambios en el factor del impuesto a la cerveza y en la tasa de interés. 
•	Se atendieron solicitudes de inscripción, desinscripción y actualización de contribuyentes, de las empresas:
o	Monteverde Brewing – Inscripción
o	Uno Cero Uno – Desincripción
o	Os Beer Co SA – Desincripción
o	Natalia Fonseca Soto – Desincripción.
•	Devolución de Impuestos a Sujetos Pasivos.
Se solicitó que se incorpore en el Presupuesto Extraordinario 1-2020, la suma de 7,800,386.65 (Siete millones ochocientos mil trecientos ochenta y seis colones con sesenta y cinco céntimos), en la partida N° 01.08.6.06.02, denominada Reintegros y Devoluciones y que los fondos sean tomados del superávit Libre, esto con el fin de atender las solicitudes de devolución de impuestos pagados en demasía por concepto de licores y cervezas extranjeras.
2.	FISCALIZACIÓN TRIBUTARIA
•	Durante el primer trimestre de 2020, se ha avanzado en los estudios de fiscalización de: Licores y cremas Lizano, Cooperativa de Productores de Leche Dos Pinos R.L, Bancor Internacional, Centenario Internacional y Productora La Florida.
1.	RECAUDACIÓN TRIBUTARIA
•	Se solicito al Ministerio de Hacienda la devolución de impuestos sobre licores Importados dejados de percibir por el IFAM.
Por medio del oficio DF-407-2019, de 16 de diciembre de 2019, la Dirección de Fiscalización del Servicio Nacional de Aduanas comunicó a la Dirección Ejecutiva del Instituto de Fomento y Asesoría Municipal, que mediante comprobante N°. 136561, de 11 de junio de 2019, ingresó a la cuenta de caja única del Estado la suma de ¢5.728.114,76, por concepto de impuestos dejados de percibir por el IFAM.
En razón de lo anterior, se realizan las gestiones ante la Direccion Jurídica del ministerio de Hacienda para su devolución.
•	Ante la manifestación del CNP de pretender realizar un arreglo de pago por el adeudo tributario que mantiene con la Institución del periodo 2009, la Unidad de Administración Tributaria a solicitud del Director Ejecutivo procedió a realizar el documento del convenio de arreglo de pago y las respectivas tablas de cálculo, sin embargo, a la fecha aún no se ha firmado este convenio.
3.	OTROS
•	Sistema de Administración Tributaria
Es importante mencionar que la Unidad de Administración Tributaria depende de Tecnologías de Información para avanzar en el proceso de la actualización del sistema, por lo cual actualmente se encuentran en un impasse, sin embargo, en atención a la recomendación del informe de Auditoría Interna, se solicitó a la Dirección Ejecutiva girar instrucciones a Sistemas de Información para continuar con la actualización del Sistema.
</t>
  </si>
  <si>
    <t xml:space="preserve">Ejecutar los recursos reservados para atender desembolsos </t>
  </si>
  <si>
    <t xml:space="preserve">Desembolsos de recursos según la legislación vigente </t>
  </si>
  <si>
    <t>Realizar el 100% de los desembolsos programados tanto por transferencias de capital y transferencias corrientes a los beneficiarios que establecen la ley.</t>
  </si>
  <si>
    <t>Porcentaje de desembolso de recursos destinados para transferencias</t>
  </si>
  <si>
    <t>DEPARTAMENTO ADMINISTRATIVO</t>
  </si>
  <si>
    <t>1.09.Departamento Administrativo</t>
  </si>
  <si>
    <t>Cumplimiento de la ley  7202 del Sistema Nacional de Archivos y su Reglamento. Así como los lineamientos, resoluciones y directrices emitidos por la DGAN, como ente rector por partes de la Unidades administrativas del IFAM:</t>
  </si>
  <si>
    <t>Dar seguimiento al cumplimiento de la Normativa referente a la Ley 7202 y su reglamento en todas las Unidades administrativas</t>
  </si>
  <si>
    <t xml:space="preserve">Personal IFAM </t>
  </si>
  <si>
    <t xml:space="preserve">Cantidad de unidades administrativas que cumplen con la normativa </t>
  </si>
  <si>
    <t>Ludy Arce Alpízar</t>
  </si>
  <si>
    <t>Compra de materiales para las labores de clasificación, alimentación para dos  capacitaciones al año</t>
  </si>
  <si>
    <t>Contar con personal de alto desempeño</t>
  </si>
  <si>
    <t>Programa de atención médica implementado.</t>
  </si>
  <si>
    <t>El programa de atención médica consta de 4 actividades ponderadas según se indica: consulta médica ( 30%), campañas de salud ( 30% ), servicios de salud (10% ), y chequeos médicos preventivos(30%). El total de consultas se estima en 1100 casos atendidos en el año, 7 campañas de salud en el año, 1 servicio de salud continuo en el año, 82 funcionarios con su chequeo médico anual completo y expediente actualizado al finalizar el año.</t>
  </si>
  <si>
    <t>Usuarios Internos 118</t>
  </si>
  <si>
    <t>% de programa de atención médica realizado.</t>
  </si>
  <si>
    <t>Leonel Abrego Campos</t>
  </si>
  <si>
    <t xml:space="preserve">Primer trimestre: Hay un total de 221 consultas médicas atendidas para un total de 6.03%.  De los chequeo médicos se convocaron un total de 11 con 7 expedientes médicos actualizados, 3 ausentes y 1 que no atendió el llamado, esto equivale a un 4.02%. El servicios de odontología no se brindó por falta de disponibilidad de la odontóloga que nos apoya. No se ha iniciado con las campañas de salud. Total de avance: 10.05% La unidad de servicios médicos tiene un avance del 10.05%. La consulta médica es a demanda. Los chequeos médicos están distribuidos a lo largo del año a tal modo que cada funcionario tiene al menos uno cada 12 meses. La mayoría de las campañas están programadas para el segundo semestre del año. </t>
  </si>
  <si>
    <t>Ejecución de los productos y servicios generados por el Departamento Administrativo con supervisión al cumplimiento</t>
  </si>
  <si>
    <t xml:space="preserve">Ejecución de los productos y servicios generados por el Departamento Administrativo.  1.Archivo de gestión.                                          2. Contraciones y adquisiciones.                            3.Mantenimiento de activos.                                    4. Administración de contratos de servicios generales.                                                          5.Servicio Médico                                                       6. Salud Ocupacional.                                                  7. Administración y gestión del Recurso Humano.                                                             8.Dotación de recursos básicos.                  </t>
  </si>
  <si>
    <t>Personal del Departamento Administrativo  y sus  Unidades</t>
  </si>
  <si>
    <t>% de ejecucón de productos y servicios del Departamento Administrativo  con supervición al cumplimiento</t>
  </si>
  <si>
    <t>El 24 de febrero ingresó la Encargada de la Unidad de Talento Humano, lo cual permitirá darle un mayor seguimiento a los procesos de dicha Unidad.  En temas de capacitación no se ha podido avanzar pues se tiene pendiente la oferta programática.  En temas reclutamiento y selección se está trabajando y se espera una mayor dinamica, gracias al compromiso y poyo de la PE y la DE.  Con respecto a Servicios Generales se está revisando el presupuesto 2020 para que en conjunto con la DE, nos indiquen las nuevas prioridades, dado la situación con la pandemia.  Con la Unidad de Adquisiciones, se ha venido trabajando desde la Comisión de Contrataciones y Adquisiciones, según los requerimientos que se han tenido.  Con el Archivo Central, Dña. Ludy ha venido apoyando a las unidedes en temas relacionados con la tabla de plazos y a TI en lo relacionado con el gestor documental.</t>
  </si>
  <si>
    <t>Ejecución de los productos y servicios generados por la Unidad de Servicios Generales durante el año 2020</t>
  </si>
  <si>
    <t>Servicios de mantenimiento gestionados,                                      1.contratos de servicios administrados, 2.atención de giras y transportes,                   3.dotación de servicios básicos y seguros,                                          4.mantenimientos de vehículos y edificio realizados</t>
  </si>
  <si>
    <t>Personal de IFAM y población meta</t>
  </si>
  <si>
    <t>% de servicios administrados, mantenimientos, transportes , dotación de servicios básicos y seguros, giras realizadas satisfactoriamente</t>
  </si>
  <si>
    <t>Carolina Saborío Segura</t>
  </si>
  <si>
    <t>En el primer trimestre del año la Unidad de Servicios Generales realizó las contrataciones del alquiler de la planta eléctrica, mantenimiento de los vehículos, mantenimiento de equipos de impresión, compra de repuestos varios para mantenimiento menores del edificio. Seguimiento y administración de los contratos a su cargo para el buen funcionamiento del Edificio y la institución (seguridad, limpieza, recepción, mensajería, limpieza áreas verdes, mantenimiento del edificio, mantenimiento de portones, mantenimiento de ascensores, mantenimiento de tuberías, lavado de vehículos) Se encuentran en proceso las contrataciones de precalificación de talleres, impermeabilización y limpieza del tanque de agua. Durante los meses de enero a marzo 2019 se atendieron 97 giras solicitadas.</t>
  </si>
  <si>
    <t>Plan de adquisicón de vehiculos institucionales para el cumplimiento de la Directriz 033-MINAE-MOPT</t>
  </si>
  <si>
    <t>Adquisición de tres vehículos, (2 hibridos y 1 eléctrico) de acuerdo al Plan de Adquisición de vehículos. El costo promedio por vehículo hibrido es de 26 millones y para el vehículo electrico 28 millones.</t>
  </si>
  <si>
    <t>Número de vehículos adquiridos</t>
  </si>
  <si>
    <t>Esta actividad se encuentra en el segundo semestre del 2020.</t>
  </si>
  <si>
    <t>Plan de compras de Bienes y servicios adquiridos conforme las necesidades de contratación realizadas por cada dependencia.</t>
  </si>
  <si>
    <t xml:space="preserve">Asegurar la gestión eficaz y eficiente de los procesos de adquisición y contratación de los bienes y servicios que requiere la Institución para el cumplimiento de sus objetivos y metas.  </t>
  </si>
  <si>
    <t>A diciembre del 2020 el 100% de las contrataciones requeridas debidamente tramitadas.</t>
  </si>
  <si>
    <t>Inés Vázquez Sánchez</t>
  </si>
  <si>
    <t xml:space="preserve">De la partida 01.10 "Adquisición de bienes" 9.950.000 que corresponden a los materiales que se custodian en bodega,  de la partida 01.09 "Departamento Administrativo" por un concepto 11.000.000 
La publicación Plan Anual de Compras de la Institución se realizó en la página del SICOP EL 27-01-2020.  El reporte de ejecución del Plan Anual de Compras se remite mensualmente a las dependencias del IFAM.  
En el Primer trimestre de 2020, entre otras cosas, se realizó lo siguiente:
- 13 procesos de contratación directos y 2 licitaciones Abreviadas. 
- Se tramitaron 24 términos de referencia de contrataciones directas y 8 de licitaciones  abreviadas 
- Se tramitaron 6 actas de la Comisión de Contratación Administrativa
-  Se atendió 1 recurso de revocatoria
-  Se confeccionaron 27 contratos por SICOP y 6 órdenes de compra de procesos realizados antes de 2018 por medios físicos.
-  Se finiquitaron 15 procesos por medio del SICOP
-  Se tramitó el pago de 61 facturas incluyendo los 3 pagos por el uso del SICOP
-  Se atendieron las consultas de personas externas e internas y todas relacionadas con el área de la Contratación Administrativa.   No se cuenta con un sistema de control de consultas diarias y llevar este control en forma manual es imposible por la gran cantidad de consultas que se reciben diariamente
-  Se realizaron 4 publicaciones en el diario oficial la Gaceta
-  Se entregaron 189 artículos de la Bodega de suministros que custodia la UAC
-  Se plaquearon y registraron 10 activos
</t>
  </si>
  <si>
    <t>Generación de competencias en el recurso humano</t>
  </si>
  <si>
    <t xml:space="preserve"> Evaluación del Desempeño aplicada</t>
  </si>
  <si>
    <t>Alcanzar el 100%  de las evaluaciones semestrales del desempeño de los funcionarios nombrados y que cumplan lo establecido para tales efectos.</t>
  </si>
  <si>
    <t>%   de las evaluaciones semestrales del desempeño alcanzadas según lo programado</t>
  </si>
  <si>
    <t>Está aún pendiente de aplicar la evaluación del desempeño del perído 2019, a todo el personal, es decir el 100% de los funcionarios.</t>
  </si>
  <si>
    <t>Tener un buen ambiente laboral</t>
  </si>
  <si>
    <t>Ejecución de los productos y servicios generados por la Unidad de Talento Humano</t>
  </si>
  <si>
    <t>Productos entregados por parte de Talento Humano:                                                              1) Reclutamiento y selección.                                           2)Desarrollo Profesional.                                                   3) Estudios de reconocimientos y homologaciones.                                                   4) Certificaciones y constancias                                         5) Vacaciones                                                                       6) Planillas</t>
  </si>
  <si>
    <t>Interno y externo</t>
  </si>
  <si>
    <t>Porcentaje de productos entregados en tiempo y forma</t>
  </si>
  <si>
    <t>En el proceso de Reclutamiento y Selección, contamos a la fecha con 20 plazas vacantes, para el primer trimestre de 2020, se han realizado varios concursos (internos y externos), a la fecha tenemos abiertos (en proceso) 06 concursos internos y 06 externos. Para el I Trimestre no se ha realizado ningún estudio de homologación y reasignación de puesto. Se realizaron aproximadante un total de 40 constancias y 10 certificaciones en el I Trimestre 2020, además las vacaciones se encuentran al día para I Trimestre de este año, se están actualizando con la información del personal que laboró en semana santa (los días 6, 7 y 8 de abril 2020), por último las planillas se encuentran al día.</t>
  </si>
  <si>
    <t xml:space="preserve">Plan de Capacitación Institucional </t>
  </si>
  <si>
    <t>Ejecutar el plan de capacitación del Personal de IFAM de acuerdo al resultado de la oferta programática institucional y al estudio de necesidades de capacitación .</t>
  </si>
  <si>
    <t>% de ejecución del Plan de Capacitación</t>
  </si>
  <si>
    <t>No se cuenta con la oferta programática para determinar los requerimientos de capacitación, por lo tanto no podemos avanzar al respecto.</t>
  </si>
  <si>
    <t>2019-2022
40 proyectos                                                                                       2020                    10 Proyec</t>
  </si>
  <si>
    <t>Programa de Salud Ocupacional implementado</t>
  </si>
  <si>
    <t xml:space="preserve">1.Analisis de riesgos ocupacionales.                        2. Reuniones de la comisión de Salud ocupacional. 12 sesiones.                                                  3. Trabajo con brigada. 4 sesiones.                         4. Celebración de la semana de salud ocupacional.,                                                5.Equipamiento de seguridad.                          6. Equipo de protección personal.    7.Capacitaciones al personal (2 actividades)  </t>
  </si>
  <si>
    <t>usuarios internos</t>
  </si>
  <si>
    <t>% de implementación del programa de Salud Ocupacional</t>
  </si>
  <si>
    <t xml:space="preserve">Compra Equipo de protección personal, suministros para el botiquin, compra y alquiler  materiales y equipos que se requieran para la semana de Salud Ocupacional y capacitación (C.S.O), el seguimiento al 31 de marzo del año 2020 se destaca que, en el mes de febrero se inició con las capacitaciones de las brigadas de emergencia institucionales con el Benemérito Cuerpo de Bomberos de C.R, se dió a cabalidad el curso de Control Principios de Incendio, sin embargo, los demás cursos se suspendieron por la emergencia nacional por COVID-19, respecto a el equipo de proteccion personal, me encuentro realizando los términos de referencia y el estudio de mercado, asi como analizando las necesidades de equipamento para las brigadas de emergencia y los botiquines de primeros auxilios, la celebración de la semana de la salud ocupacional debe trasladarse hasta que pase la emergencia por COVID-19 ya que implica actividades recreativas entre los funcionarios del IFAM. </t>
  </si>
  <si>
    <t>TOTAL PROGRAMA I</t>
  </si>
  <si>
    <t>Programa: 02-01 Gestión y Fortalecimiento Municipal</t>
  </si>
  <si>
    <t>Programa: 02-02 Unidad de Innovación y Desarrollo</t>
  </si>
  <si>
    <t>Programa: 02-04 Unidad de Capacitación y Formación</t>
  </si>
  <si>
    <t>Brindar financiamiento de manera oportuna</t>
  </si>
  <si>
    <t>Impartir capacitación municipal con eficacia</t>
  </si>
  <si>
    <t>Brindar servicios integrados a las Municipalidades</t>
  </si>
  <si>
    <t xml:space="preserve">Tener cobertura en capacitación de todo el Sector Municipal </t>
  </si>
  <si>
    <t xml:space="preserve">Nombre de la Institución: INSTITUTO DE FOMENTO Y ASESORÍA MUNICIPAL </t>
  </si>
  <si>
    <t>Nombre del Jerarca de la Institución Marcela Guerrero Campos</t>
  </si>
  <si>
    <t>Sector: Vivienda y Asentamientos Humanos</t>
  </si>
  <si>
    <t>Ministro(a) Rector(a): Irene Campos Gómez</t>
  </si>
  <si>
    <t>PLAN NACIONAL DE DESARROLLO E INVERSION PUBLICA 2019-2022 (PNDIP)</t>
  </si>
  <si>
    <t xml:space="preserve">INDICADORES DE PRODUCTO FINAL
</t>
  </si>
  <si>
    <t>LÍNEA BASE</t>
  </si>
  <si>
    <t>ESTIMACIÓN ANUAL DE RECURSOS PRESUPUESTARIOS    (en millones de colones)</t>
  </si>
  <si>
    <t>ANUAL 2020</t>
  </si>
  <si>
    <t>t+1</t>
  </si>
  <si>
    <t>t+2</t>
  </si>
  <si>
    <t>DEPARTAMENTO DE GESTIÓN Y FORTALECIMIENTO MUNICIPAL</t>
  </si>
  <si>
    <t>Prestación de Servicios de calidad y Oprotunos</t>
  </si>
  <si>
    <t>Brindar servicios integrados a las municipalidades</t>
  </si>
  <si>
    <t>Ejecución de los productos y servicios generados por el Departamento de Gestión y fortalecimiento Municipal con supervisión al cumplimiento</t>
  </si>
  <si>
    <t xml:space="preserve">Productos de Asistencia Técnica, Financiamiento, Investigaciónes,  oferta programática, sistematización de buenas prácticas, servicio de consulta y asesoramiento jurídico  y Capacitación entregados.                        </t>
  </si>
  <si>
    <t>Régimen Municipal</t>
  </si>
  <si>
    <t xml:space="preserve">Porcentaje de cumplimiento del POI del DGFM           </t>
  </si>
  <si>
    <t>Fondos propios</t>
  </si>
  <si>
    <t xml:space="preserve">El Monto de los 15.204.331,91 corresponde en su totalidad a remuneraciones , es un monto de ejecución bajo ya que la plaza de la Jefatura está vacante, también una plaza del profesional en comunicación y otra de un asesor jurídico. en el primer trimestre  y las plazas están en proceso de contratación por parte de de otro Departamento distinto al DGFM, Departamento Administrativo en la Unidad de Talento Humano
En total son 10 plazas vacantes
</t>
  </si>
  <si>
    <t>UNIDAD DE INNOVACIÓN Y DESARROLLO</t>
  </si>
  <si>
    <t>Documentos conteniendo  investigaciones.</t>
  </si>
  <si>
    <t>A diciembre del 2020 se han concluido y validado cuatro (4) investigaciones sobre temas de interés institucional y para el fortalecimiento del régimen municipal.
1. Manejo de Residuos: análisis de factores generadores de residuos en la Región Caribe.
2. Cantones Inteligentes (Infraestructura tecnológica) a nivel nacional.
3. Diseño y Planificación Urbana Participativa (IFAM-MIVAH).                                       4.Estado y necesidades del Sector Municipal en temas de Desarrollo Económico Local</t>
  </si>
  <si>
    <t>Cantidad de investigaciones sobre temas de interés institucional y para el fortalecimiento del régimen municipal.</t>
  </si>
  <si>
    <t>Ingresos propios institucionales</t>
  </si>
  <si>
    <t xml:space="preserve">Por órdenes de la Dirección Ejecutiva, a principios del mes de enero de 2020 se me solicitó dedicarme al 100%; junto con el personal de la Unidad de Innovación y Desarrollo, a coordinar todas las actividades relacionadas con el XI Programa de Capacitaciones a las Nuevas Autoridades Municipales 2020 (PROCANAM 2020). Por tal razón, la Dirección Ejecutiva manifestó que el POI 2020 de la Unidad de Innovación y Desarrollo quedaba temporalmente suspendido. _x000D_
_x000D_
No obstante, a lo anterior, se continuaron las gestiones con la Contraloría General de la República y el MIVAV para contratar en forma directa los servicios profesionales (SSPP) para el desarrollo del proyecto denominado “Plataforma para la Innovación Tecnológica y Planificación Urbana Participativa”. Sin embargo, el pasado 07 de abril de 2020, la CGR deniega la solicitud, según consta el oficio DCA-1251 (Oficio ref. 05144), por lo que ahora, se debe replantear el proyecto y construir los TDR´s para sacar a concurso dicha contratación de los SSPP._x000D_
_x000D_
Por su parte, dado que durante el I trimestre se dedicó a la atención del XI PROCANAM 2020 y el cambio en las condiciones para hacer trabajo de campo originadas por el COVID-19, se tuvo que replantear la cantidad de investigaciones a realizar durante el 2020. Por lo anterior, se excluirá del POI-UID-2020 la investigación “Manejo de Residuos: análisis de factores generadores de residuos en la Región Caribe”. Las restantes tres investigaciones, se están posponiendo para el II Semestre de 2020. Actualmente, Michael Sánchez ha estado trabajando en los TDR´s para la contratación de los SSPP para la investigación “Cantones Inteligentes (Infraestructura tecnológica) a nivel nacional.”_x000D_
</t>
  </si>
  <si>
    <t>Documentos conteniendo las buenas prácticas municipales nacionales y internacionales.4 documentos</t>
  </si>
  <si>
    <t>A diciembre de 2020 se han identificado, sistematizado y validado cuatro (4) buenas prácticas en gestión municipal  a nivel Nacional o internacional.</t>
  </si>
  <si>
    <t xml:space="preserve">Cantidad de buenas prácticas municipales </t>
  </si>
  <si>
    <t>Avance 0. En este momento se están identificando buenas prácticas, y al igual que la justificación anterior, se están posponiendo para el II semestre de 2020.</t>
  </si>
  <si>
    <t>Documentos conteniendo la evaluación del movimiento OVOP (One Village One Product). 4 territorios</t>
  </si>
  <si>
    <t>A diciembre de 2020 se ha entregado cuatro (4) evaluaciones de los efectos del movimiento OVOP en: Dota, Zarcero, Cañas y Turrialba-Jiménez.</t>
  </si>
  <si>
    <t>Cantidad de documentos conteniendo las evaluaciones OVOP.</t>
  </si>
  <si>
    <t>Se están construyendo los TDR´s para contratar los SSPP para la evaluación del programa OVOP. Sin embargo, dado que las otras partes institucionales (MEIC y MAG) no han firmado la renovación del convenio, está en duda la continuidad de este programa en el IFAM. Lo anterior, podría implicar que esta evaluación carezca de interés institucional y no sea necesario realizarla. Por el momento, se va a mantener dentro del POI-2020 hasta conocer la posición de la Presidencia Ejecutiva. Al igual que la justificación anterior, se está posponiendo para el II semestre de 2020.</t>
  </si>
  <si>
    <t>Ejecución de los productos y servicios generados por la Unidad de Innovación y Desarrollo.</t>
  </si>
  <si>
    <t>A diciembre de 2020, se ha ejecutado el 100% de las actividades y el 100% del presupuesto del Plan Operativo de la Unidad de Innovación y Desarrollo.</t>
  </si>
  <si>
    <t>Porcentaje de cumplimiento del Plan Operativo de la Unidad de Innovación y Desarrollo para el 2020.</t>
  </si>
  <si>
    <t>Se ha cumplido en un 20% (de 25% del I trimestre), que corresponde a la atención al cantón de Río Cuarto, el tiempo dedicado al proyecto IFAM-MIVAH, la construcción de los TDRS que están realizando Carolina Núñez Michael Sánchez, los procesos administrativos de contratación de las plazas en la UID, atención a de las capacitaciones internas Formador de Formadores y Brigadas, así como reuniones internas (presenciales y virtuales). No se incluye todo el tiempo y esfuerzo del personal de la UID para la atención del XI PROCANAM 2020; ya que no hay forma de reflejarlo actualmente en el POI-UID-2020.</t>
  </si>
  <si>
    <t>UNIDAD DE SERVICIOS TÉCNICOS Y FINANCIAMIENTO</t>
  </si>
  <si>
    <t>Sostenibilidad Financira</t>
  </si>
  <si>
    <t>Plan de financiamiento 2020 PLAN NACIONAL DE DESARROLLO</t>
  </si>
  <si>
    <t xml:space="preserve">Financiamiento de al menos 10 proyectos de inversión  nuevos  en ejecución  (PNDIP 2019-2022)                               </t>
  </si>
  <si>
    <t>Externo</t>
  </si>
  <si>
    <t>Fondos disponibles para financiamiento</t>
  </si>
  <si>
    <t>Esta meta tiene dos indicadores; el primero de eficacia que se relaciona con la cantidad de proyectos formalizados y aprobados cada año  y el segundo indicador es de eficiencia , que se relaciona con los desembolsos de los proyectos y la ejecución de los fondos disponibles.
 Lo anterior ya que existen proyectos que estan programados para más de un año calendario su ejecución.   Es importante resaltar que el indicador de eficiencia está en más de un 75% en función de la gestión municipal y el 25% a la incidencia de la fiscalización y eficiencia en la tramitación interna de los desembolsos.  El porcentaje de lo desembolsado en el primer trimestre representa un 20% de lo programado para el año y un 85% tomando como promedio simple de la  distribución trimestral 
Los financiamientos emergerán de:
1.-Disponibilidad de recursos para colocación
 2.-Del proceso de relación con usuarios Promotores municipales
3.-Del análisis del sector, diagnóstico de necesidades de asistencia técnica y financiamientos, así como las solicitudes que emitan los gobiernos locales al IFAM entre 2019 y el 2020. ( El monto proyectado para esta meta corresponde para el año 2020)</t>
  </si>
  <si>
    <t>Proyectos de desarrollo con articulación cantonal e interinstucional abarcando ámbito económico, social, ambiental y cultural   . (ACUERDOS)  PLAN NACIONAL DE DESARROLLO Financiamiento para la generación de planes reguladores</t>
  </si>
  <si>
    <t xml:space="preserve">Financiamiento (reembolsable) de 3 planes reguladores                                     Acuerdos de Cooperación gestionados para desarrollar  3 proyectos con inversión articulada entre municipios, instituciones y cooperación internacional. </t>
  </si>
  <si>
    <t>N/D</t>
  </si>
  <si>
    <t>1. Cantidad de financiamientos aprobados y con contrato firmado 2.Porcentaje de Recursos utilizados para el financiamiento (Reembolsable) de  planes reguladores (Desembolsos)</t>
  </si>
  <si>
    <t>Fondos Propios</t>
  </si>
  <si>
    <t>Esta meta tiene dos indicadores; el primero de eficacia que se relaciona con la cantidad de proyectos formalizados y aprobados cada año  y el segundo indicador es de eficiencia , que se relaciona con los desembolsos de los proyectos y la ejecución de los fondos disponibles. Lo anterior ya que existen proyectos que estan programados para más de un año calendario su ejecución.                                                                       Los financiamientos emergerán del análisis del sector , diagnóstico de necesidades de asistencia técnica y financiamientos, así como las solicitudes que emitan los gobiernos locales al IFAM entre 2019 y el 2020. ( El monto proyectado para esta meta corresponde para el año 2020)</t>
  </si>
  <si>
    <t>Ejecución de los productos y servicios generados por la Unidad de Servicios técnicos y financiamiento</t>
  </si>
  <si>
    <t xml:space="preserve">100% de los productos de asistencia técnica y financiamiento entregados según lo programado, a saber:                                             1. Asistencias técnicas(Reembolsable y no reembolsable).                                            2.Financiamiento.                         </t>
  </si>
  <si>
    <t>Porcentaje de productos entregados</t>
  </si>
  <si>
    <t>Se consignan las remuneraciones y los servicios de tercerización aplicados a la prestación de los servicios de asistencia técnica por producto entregado.:
Asistencias Técnicas
Diseño de Planos eléctricos (Puriscal)
Diseños de Planos (San Carlos)
Diseños de Planos (Aserrí)
Financiamientos
Recolectores (Santo Domingo)
 4-REC-1429-0217 Sustitución de 4 unidades recolectoras de residuos sólidos que han superado su vida útil (567.010.309.00)
Acosta:  Compra de una unidad recolectora de desechos solidos y repración de otra 1-REC-1426-0117 78.488.833.00</t>
  </si>
  <si>
    <t xml:space="preserve"> Impulsar la ejecución de proyectos para el desarrollo de capacidades locales de adaptación al cambio climático. PLAN NACIONAL DE DESARROLLO . 3 proyectos fronterizos
3 tres proyectos costeros a lo largo de 4 años      </t>
  </si>
  <si>
    <t>3 proyectos fronterizos
3 tres proyectos costeros a lo largo de 4 años               
Año 2020:( apoyo en la generación de capacidades locales de adaptación al cambio climático a los 20 cantones que recibirán financiamiento del Fondo Verde del Clima para enfrentar el cambio climático: 
Región Pacífico Central: Parrita, Montes de Oro, Puntarenas
Región Huetar Atlántica: Talamanca, Siquirres, Matina, Pococí
Región Chorotega: Nicoya, La Cruz, Cañas
Región Central: Alajuelita, Acosta, Naranjo, Turrialba
Región Huetar Norte: Guatuso, Upala, Los Chiles
Región Brunca: Buenos Aires, Corredores, Osa
 </t>
  </si>
  <si>
    <t>Porcentaje de acciones de socialización y capacitación sobre el uso de los manuales ejecutadas</t>
  </si>
  <si>
    <t xml:space="preserve">En el caso de los proyectos financiado por el IFAM
3 Fronterizos
3 Costeros
Contemplar financiamiento en condiciones blandas siempre y cuando forme parte de su plan de inversión mecanismos y variables relacionadas a cambio climático, resiliencia y adaptación.
( El monto proyectado para esta meta corresponde para el año 2020)
Proyecto Residuos Sólidos Región Brunca (Fondos no reembolsables $322.000.00=189.000.000,00)
Coto Brus
Pérez Zeledón
Buenos Aires
Fronterizo Corredores
Costero  Golfito
Costero   Osa
Fronterizo : Zona Norte (Gustuso, Upala, Los Chiles)
</t>
  </si>
  <si>
    <t xml:space="preserve">Proyectos de desarrollo con articulación cantonal e interinstucional abarcando ámbito económico, social, ambiental y cultural. (CONVENIOS)  PLAN NACIONAL DE DESARROLLO      </t>
  </si>
  <si>
    <t>Convenios gestionados que ayuden a desarrollar 6 proyectos con inversión articulada entre municipios, instituciones y cooperación internacional.                            Generación de alianzas para creación de acciones conjuntas relacionadas con ambiente, cambio climático y cantones inteligentes</t>
  </si>
  <si>
    <t xml:space="preserve"> Proyectos de inversión en los territorios.         </t>
  </si>
  <si>
    <t xml:space="preserve">Proyecto de Movilidad Activa, Municiipalidades Piloto
UCR-Laname (en proceso)
CFIA-Capacitación
ICD-IFAM
</t>
  </si>
  <si>
    <t>UNIDAD DE CAPACITACIÓN Y FORMACIÓN</t>
  </si>
  <si>
    <t xml:space="preserve">Manuales para la elaboración de Planes Reguladores socializados con las Municipalidades PLAN NACIONAL DE DESARROLLO </t>
  </si>
  <si>
    <t>Socialización del Manual para la elaboración de Planes Reguladores Costeros en la ZMT (INVU_ICT 2017) y el Manual para Planes Reguladores como instrumentos de ordenamiento territorial (INVU 2018) a lo largo de cuatro años</t>
  </si>
  <si>
    <t>Territorios Municipales</t>
  </si>
  <si>
    <t>Suspendido por Declaratora de Emergencia Nacional Pandemia COVID, gestiones serán reactivadas inicinado II Semestre Junio 2020</t>
  </si>
  <si>
    <t xml:space="preserve"> Gestionar el desarrollo local, a partir de la ejecución de proyectos que mejoren la calidad de vida de la población y el ambiente.</t>
  </si>
  <si>
    <t xml:space="preserve">asistencias técnicas y financiamientos para proyectos  urbanos mediante la captura de plusvalía (aceras y acueductos)   PLAN NACIONAL DE DESARROLLO     </t>
  </si>
  <si>
    <t>Valorizar el uso del suelo mediante inversión de proyectos urbanos a lo largo de tres años.                          Se abre una linea especial de financiemto y asistencia técnica inversión pública y áreas adyacentes:
1.-Reajuste de terrenos
2.-Contribuciones especiales
3.-Cobro por Edificables  ( El monto proyectado para esta meta corresponde para el año 2020)</t>
  </si>
  <si>
    <t xml:space="preserve">Proyectos de inversión en los territorios.         </t>
  </si>
  <si>
    <t>Se abre una linea especial de financiemto y asistencia técnica inversión pública y áreas adyacentes:
1.-Reajuste de terrenos
2.-Contribuciones especiales
3.-Cobro por Edificables  ( El monto proyectado para esta meta corresponde para el año 2020)</t>
  </si>
  <si>
    <t xml:space="preserve">Herramientas que capturen la plusvalía  y permita la valoración del uso del suelo                                                      PLAN NACIONAL DE DESARROLLO </t>
  </si>
  <si>
    <t xml:space="preserve">Diseño de una herramientas de valorización del uso del suelo y  captura de plusvalía de proyectos urbanos.                                         Se plantea realizar talleres por Regiones con la finalidad  con un plan a 2 años en los 14 cantones donde pasa el tren como prioritario y generar capacidades en el resto de los talleres donde se pueda aplicar los tres instrumentos diseñados:
1.-Reajuste de terrenos
2.-Contribuciones especiales
3.-Cobro por Edificables  ( El monto proyectado para esta meta corresponde para el año 2020)                               </t>
  </si>
  <si>
    <t xml:space="preserve"> herramienta de captura de plusvalía para el financiamiento de proyectos urbanos.</t>
  </si>
  <si>
    <t>Continúa en Diseño durante el I Semestre 2020</t>
  </si>
  <si>
    <t>1.Sensibilización en temas de cambio climático brindada.                         2.Generación de material que contemple el tema de cambio climático</t>
  </si>
  <si>
    <t xml:space="preserve">Se sensibilizará sobre cambio climático a través de actividades (ya sean eventos, Congresos, charlas, materiales, entre otros) </t>
  </si>
  <si>
    <t>Ambos</t>
  </si>
  <si>
    <t>Cantidad de eventos realizados</t>
  </si>
  <si>
    <t>1. Oferta programática de capacidades en temas relacionados en cambio climático. (45.000.000,00)
El cambio climático es un eje estratégico del IFAM, el mismo, toma en cuenta tres subtemas: Gestión del riesgo, adaptación al cambio climático y mitigación al cambio climático. Dentro del tema de gestión del riesgo climático se toma en cuenta todos aquellos factores que pueden poner en riesgo a la población debido al impacto del cambio climático en el territorio nacional. Cuando hablamos de temas de adaptación, estamos hablando de cómo es que se deben adaptar los cantones de nuestro país. Para esto debemos conocer a qué nos estamos adaptando, para así poder generar acciones estratégicas con base en las necesidades actuales. Esto toma en cuenta identificar las vulnerabilidades del territorio y generar resiliencia en los cantones para contar con un territorio adaptado. Y por último, en el tema de mitigación, tomamos en cuenta lo que tiene que ver con residuos y a su vez en compostaje, tal y como se está estableciendo en el “Manual de Cantones Sostenibles: Cómo nos adaptamos y mitigamos el cambio climático”, además, se toma en cuenta el cambio de paradigma de movilidad y con ello las temáticas relacionadas con distintos temas de transporte, y se toma en cuenta también inventarios de gases efecto invernadero (GHG).
Este apartado pretende generar actividades de capacitación relacionados con los temas de cambio climático, primero para poder sensibilizar a la población, luego para que ellos cuenten con la información y las herramientas, y por último para que con las herramientas básicas se puedan crear cantones para la gente. Por medio de la capacitación se pretende sensibilizar a la población en estos temas y poder acercar la realidad al futuro con el que soñamos.</t>
  </si>
  <si>
    <t>Programa de Capacitación enfocado en Cantones Inteligentes</t>
  </si>
  <si>
    <t>En este programa se incluyen cursos sobre Design Thinking, Planeación de la Innovación Territorial, Innovación y diseño de servicios para el territorio, innovación para el desarrollo de sistemas de movilidad urbana sostenible, gestión de proyectos de innovación tecnológica entre otros</t>
  </si>
  <si>
    <t>Cantidad de cursos impartidos</t>
  </si>
  <si>
    <t>La esencia de esta propuesta yace en la conciencia que tiene la Institución de que cada gobierno local debe diseñar e impulsar su propio modelo de cantón inteligente, asegurando su permanencia más allá del cambio político, con el acompañamiento de instituciones que mantengan la rectoría a nivel nacional o que se desempeñen un actor de aliado estratégico técnico como IFAM.
En esta misma línea de pensamiento, IFAM está diseñando una oferta programática de capacitación y formación exclusiva para transformación digital dirigida a autoridades municipales tomadores de decisiones (concejo municipal y alcaldías).
En este programa se incluyen temas sobre Design Thinking, Planeación de la Innovación Territorial, Innovación y diseño de servicios para el territorio, innovación para el desarrollo de sistemas de movilidad urbana sostenible, gestión de proyectos de innovación tecnológica entre otros.</t>
  </si>
  <si>
    <t>Programa de Capacitación en gestión del cambio climático</t>
  </si>
  <si>
    <t>Programa de capacitación a funcionarios municipales enfocado en la gestión del cambio y mejora de procesos, al menos seis cursos durante el periodo 2020</t>
  </si>
  <si>
    <t xml:space="preserve">3. Programa de Capacitación en Gestión del Cambio. (30.000.000,00)
Este programa se enfoca en la gestión del cambio de la función municipal, está dirigido a jefaturas y cargos con toma de decisiones e incluye metodologías para generar un cambio operacional de las organizaciones municipales mediante la mejora continua de procesos. 
En este programa se abarcarán temas como Business Process Management (BPM), Lean Servicios, Yellow Belt, Green Belt, Administración de proyectos y mitigación de riesgos a través de metodologías ágiles, creación y uso de métricas, entre otros. </t>
  </si>
  <si>
    <t>Satisfacer las necesidades de capacitación municipal oportunamente.</t>
  </si>
  <si>
    <t>Oferta de Capacitación para el 2020</t>
  </si>
  <si>
    <t>Ejecución del 100% de la oferta de capacitación  programada en el año 2020:                                                                    1.XI Programa de capacitación a autoridades Municipales.                         2.Programa de Capacitación en gestión del cambio climático .         3.Programa de Capacitación enfocado en Cantones Inteligentes.                     4. Oferta programática                       5. Mejoramiento de capacidades de organizaciones cantonales deportivas.</t>
  </si>
  <si>
    <t>Porcentaje del programa de capacitación del periodo ejecutado.</t>
  </si>
  <si>
    <t>Evaluación del 11vo. Programa de Capacitación a nuevas autoridades</t>
  </si>
  <si>
    <t xml:space="preserve">Productos entregados por parte de la Unidad de Capacitación y formación:          1) Cantones amigos de la infancia.                              2) Concejo Nacional de niñez  y adolescencia.                     3) Bandera azul ecológica          4) Campaña concientización frente a voto 2020. </t>
  </si>
  <si>
    <t>Ejecutar y entregar el 100% de los productos programados para el año 2020</t>
  </si>
  <si>
    <t xml:space="preserve">Porcentaje de Productos ejecutados y entregados </t>
  </si>
  <si>
    <t>Fortalecimiento del Eje Estratégico Institucional de Seguridad Humana,, temas de comunicaciones</t>
  </si>
  <si>
    <t>UNIDAD DE TECNOLOGÍAS DE LA INFORMACIÓN</t>
  </si>
  <si>
    <t>Uso de tecnologia de información en la prestación de servicios</t>
  </si>
  <si>
    <t>02.05. TECNOLOGÍAS DE INFORMACIÓN</t>
  </si>
  <si>
    <t>Plataforma informática para egresos municipales</t>
  </si>
  <si>
    <t>La plataforma ha desarrollar  es complementaria al sistema de ingresos municipales</t>
  </si>
  <si>
    <t>Porcentaje de avance en el desarrollo de la plataforma</t>
  </si>
  <si>
    <t xml:space="preserve">El proyecto no se ha iniciado, esto debido a ver la factibilidad de migrar el sistema CAFI a web, para posteriomente dar nuestro sistema institucional a las municipalidades y el IFAM contar con un sistema WEB, esto minimizaria el impacto en recursos institucionales de realizar a futuro otra contratación para realizar la migracion del sistema CAFI. 
El inicio del cartel esta pendiente de aprobación. En la programación de compras esta linea corresponde a ¢185,000,000.00
</t>
  </si>
  <si>
    <t>Plataforma informática para sistemas de información geográfica</t>
  </si>
  <si>
    <t>Sistema con enfoque de inteligencia de negocios que le permita a las municipalidades poder contar con una visión georeferenciada de su territorio (cobertura en cantones que no dispongan de la herramienta)</t>
  </si>
  <si>
    <t>Porcentaje de avance en el desarrollo del sistema</t>
  </si>
  <si>
    <t>Presupuesto asignado a la UTI, la UTI hasta la fecha no tiene requerimientos, avance ni alcance del mismo.</t>
  </si>
  <si>
    <t>Plataforma informática de automatización de procesos municipales y gestion de trámites en línea</t>
  </si>
  <si>
    <t>Plataforma gestión de trámites municipales  es complementaria al sistema de ingresos y egresos municipales</t>
  </si>
  <si>
    <t>A nivel de la programación de compras, esto corresponde a un solo producto basado en la realización del sistema de egresos municipales en la primer linea. Y corresponde a ¢85,000,000.00 para la suma de ¢185,000,000.00. En la primer linea se explica porque no se ha ejecutado.
Los otros ¢15,000,000.00 corresponden a una linea no ingresada en este formulario, del sistema de movilidad activa el cual se encuentra en un 80% de avance y es un proyecto avalado por la presidencia ejecutiva.</t>
  </si>
  <si>
    <t>Productos entregados por parte de la Unidad de Tecnologías de la Información  :                                       1.	Traslado de Data Center 2.	Renovación de plataforma de sistemas de información  3.	Renovación, actualización y mantenimiento de Página Web Institucional 4.	Automatización del Proceso de Asistencia Técnica    5.	Fortalecimiento de servidores institucionales</t>
  </si>
  <si>
    <t>Ejecutar  el 100% de los productos programados para el año 2020 referente a la mejoras de equipos y sistemas de  tecnologías de la información.</t>
  </si>
  <si>
    <t xml:space="preserve"> 1.	Traslado de Data Center (Ya se implementó el centro de datos alterno. El proyecto se concluyó al 100%)    5.	Fortalecimiento de servidores institucionales(La implementación de los servidores esta concluida.)</t>
  </si>
  <si>
    <t>Elaborar y poner en ejecución un Nuevo sistema de Tributos municipales WEB. SIMWEB</t>
  </si>
  <si>
    <t>Concluir el nuevo sistema de tributos WEB SIM WEB</t>
  </si>
  <si>
    <t>sistema de Tributos municipales WEB. SIMWEB concluido</t>
  </si>
  <si>
    <t>A partir del mes de marzo y abril el sistema se encuentra en la etapa de producción en la Municipalidad de Aserrí, con respecto a las municipalidades de Santa Barbara y Acosta se esta trabajando en la depuración de la Base de Datos a ser migrada.</t>
  </si>
  <si>
    <t>TOTAL PROGRAMA II</t>
  </si>
  <si>
    <t>Programa I Administración General</t>
  </si>
  <si>
    <t>Junta Directiva</t>
  </si>
  <si>
    <t xml:space="preserve">AUDITORÍA INTERNA </t>
  </si>
  <si>
    <t xml:space="preserve">CONTRALORÍA DE SERVICIOS </t>
  </si>
  <si>
    <t xml:space="preserve">PRESIDENCIA EJECUTIVA </t>
  </si>
  <si>
    <t xml:space="preserve">ASESORÍA JURÍDICA </t>
  </si>
  <si>
    <t xml:space="preserve">PLANIFICACIÓN INSTITUCIONAL </t>
  </si>
  <si>
    <t xml:space="preserve">DIRECCIÓN EJECUTIVA </t>
  </si>
  <si>
    <t xml:space="preserve">ADMINISTRACIÓN HACENDARIA </t>
  </si>
  <si>
    <t xml:space="preserve">DEPARTAMENTO ADMINISTRATIVO </t>
  </si>
  <si>
    <t xml:space="preserve">AQUISICIÓN DE BIENES </t>
  </si>
  <si>
    <t xml:space="preserve">INSTITUTO DE FOMENTO Y ASESORIA MUNICIPAL </t>
  </si>
  <si>
    <t>PROYECTO DE PRESUPUESTO ORDINARIO - 2020</t>
  </si>
  <si>
    <t xml:space="preserve">RESUMEN  PROGRAMA I  ADMINISTRACIÓN GENERAL POR ACTIVIDAD PRESUPUESTAIRA </t>
  </si>
  <si>
    <t xml:space="preserve">(EN MILLONES DE COLONES) </t>
  </si>
  <si>
    <t xml:space="preserve">CÓDIGO </t>
  </si>
  <si>
    <t xml:space="preserve">PROGRAMA Y UNIDAD PRESUPUESTARIA </t>
  </si>
  <si>
    <t>Cantidad de metas</t>
  </si>
  <si>
    <t>MONTO (en miles de millones)</t>
  </si>
  <si>
    <t xml:space="preserve">PARTICIPACIÓN RELATIVA (%) </t>
  </si>
  <si>
    <t>EJECUCIÓN I SEMESTRE</t>
  </si>
  <si>
    <t>EJECUCIÓN II SEMESTRE</t>
  </si>
  <si>
    <t>EJECUCIÖN MONTO (en miles de millones)</t>
  </si>
  <si>
    <t>PROGRAMA I ADMINISTRACIÓN GENERAL</t>
  </si>
  <si>
    <t>1.01.</t>
  </si>
  <si>
    <t>1.03.</t>
  </si>
  <si>
    <t>1.04.</t>
  </si>
  <si>
    <t>1.06.</t>
  </si>
  <si>
    <t>1.07.</t>
  </si>
  <si>
    <t>1.08.</t>
  </si>
  <si>
    <t>1.09.</t>
  </si>
  <si>
    <t>1.10.</t>
  </si>
  <si>
    <t>ADQUISICIÓN DE BIENES</t>
  </si>
  <si>
    <t>TRANSFERENCIAS CORRIENTES AL SECTOR PÚBLICO</t>
  </si>
  <si>
    <t>TOTAL RESUMEN PROGRAMA I</t>
  </si>
  <si>
    <t>RESUMEN  PROGRAMA II  FORTALECIMIENTO MUNICIPAL</t>
  </si>
  <si>
    <t>PROGRAMA DE FORTALECIMIENTO MUNICIPAL</t>
  </si>
  <si>
    <t>DEPARTAMENTO GESTIÓN DE FORTALECIMIENTO INSTITUCIONAL</t>
  </si>
  <si>
    <t xml:space="preserve">INNOVACIÓN Y DESARROLLO </t>
  </si>
  <si>
    <t xml:space="preserve">GESTIÓN SERVICIOS TÉCNICOS Y FINANCIAMIENTO </t>
  </si>
  <si>
    <t xml:space="preserve">CAPACITACIÓN Y FORMACIÓN </t>
  </si>
  <si>
    <t xml:space="preserve">TECNOLOGÍAS DE INFORMACIÓN </t>
  </si>
  <si>
    <t>TOTAL RESUMEN PROGRAMA II</t>
  </si>
  <si>
    <t>TOTAL RESUMEN PRESUPUESTO INSTITUCIONAL</t>
  </si>
  <si>
    <t>MONTO                   (en miles de millones)</t>
  </si>
  <si>
    <t xml:space="preserve"> PROGRAMA I ADMINISTRACIÓN GENERAL</t>
  </si>
  <si>
    <t xml:space="preserve"> PROGRAMA II GESTIÓN DE FORTALECIMIENTO MUNICIPAL</t>
  </si>
  <si>
    <t>TOTALES</t>
  </si>
  <si>
    <t>transferencias corrientes a instituciones descentralizadas</t>
  </si>
  <si>
    <t xml:space="preserve">Transferencias </t>
  </si>
  <si>
    <t>Transferencias de capital</t>
  </si>
  <si>
    <t>RAZÓN DE GASTO</t>
  </si>
  <si>
    <t>PORCENTAJE</t>
  </si>
  <si>
    <t>PROGRAMA I  (ADMINISTRATIVO)</t>
  </si>
  <si>
    <t>PROGRAMA II (FORTALECIMIENTO MUNICIPAL)</t>
  </si>
  <si>
    <t>TRANSFERENCIAS AL SECTOR PÚBLICO</t>
  </si>
  <si>
    <t>TOTAL</t>
  </si>
  <si>
    <t>sesori juridica</t>
  </si>
  <si>
    <t>Dirección Ejecutiva</t>
  </si>
  <si>
    <t>Código</t>
  </si>
  <si>
    <t>Presupuesto
Ordinario</t>
  </si>
  <si>
    <t>Modificaciones 
y Extraordinario.</t>
  </si>
  <si>
    <t>Total 
Presupuesto</t>
  </si>
  <si>
    <t>Ejecución 
Anterior</t>
  </si>
  <si>
    <t>Ejecución 
Mensual</t>
  </si>
  <si>
    <t>Total
Ejecución</t>
  </si>
  <si>
    <t>Compromisos</t>
  </si>
  <si>
    <t>Disponible</t>
  </si>
  <si>
    <t>%</t>
  </si>
  <si>
    <t>01.09</t>
  </si>
  <si>
    <t>ARCHIVO</t>
  </si>
  <si>
    <t xml:space="preserve">Plan de Trabajo de la Auditoría Interna </t>
  </si>
  <si>
    <t xml:space="preserve">Ejecución de Plan de Trabajo de la Auditoría Interna, el cual comprende:                                      1)Elaboración de estudios de auditoría en total 8.                         2) Autorización de Libros, sujeto a solicitud de las Unidades, se estiman 6.                                              3) Asesorías, se estiman una cantidad de 10.                                   4) Advertencias, aproximadamente 2.                                                                         5) Rendición de cuentas, aproximadamente.6.                                 En total se estiman 32 actividades. </t>
  </si>
  <si>
    <t>Adquisición y operación de un  software de gestión interna de la Auditoría.</t>
  </si>
  <si>
    <t>Adquisición de un sistema automatizado que permita desarrollar, controlar y administrar las actividades  de la Auditoría Interna, apoyando los procesos de: identificación de riesgos, planeación, elaboración del programa de trabajo para cada estudio, generación automática del informe de auditoría, autoevaluaciones,  seguimiento de recomendaciones, entre  otros, de conformidad con la normativa emitida por la Contraloría General de la República.</t>
  </si>
  <si>
    <t>CONTRALORÍA DE SERVICIOS</t>
  </si>
  <si>
    <t>Plan de trabajo de la Contraloria de Servicios</t>
  </si>
  <si>
    <t xml:space="preserve">Un Plan de trabajo de trabajo  que gestine mejoras en el régimen municipal y atienda las inconformidades del régimen Municipal.                                        </t>
  </si>
  <si>
    <t>Realizar la contratación del  plan  que incluirá la estrategia institucional de comunicación para el periodo correspondiente.   Incluye comunicados de prensa, publicidad, gestión de medios y relaciones públicas.                                               tambien se contratará la  Estrategia de Comunicación Política y renovación de imagen institucional, buscando mejorar los beneficios para el sector municipal</t>
  </si>
  <si>
    <t>Plan de trabajo de la Presidencia ejecutiva</t>
  </si>
  <si>
    <t>Productos entregados por parte de la Presidencia ejecutiva:                                                                            1) Agenda estratégica                                                     2) Alianzas estratégicas                                                           3) Recomendaciones y disposiciones cumplidas                                                   4)Coordinación con los diferentes sectores para el mejoramiento municipal                                                           5) Normativa para fortalecer el régimen municipal</t>
  </si>
  <si>
    <t>ASESORÍA JURÍDICA</t>
  </si>
  <si>
    <t>Municipalidades asesoradas de forma adecuada en el tema jurídico.</t>
  </si>
  <si>
    <t>Atender las consultas escritas y orales de parte del sector municipal  mediante la asesoría jurídica buscando el mejoramiento del régimen</t>
  </si>
  <si>
    <t>Sistema informático (PEI -POI-Presupuesto)</t>
  </si>
  <si>
    <t>Un sistema que facilite información en línea; oportuna y confiable sobre el comportamiento financiero y físico de la gestión institucional</t>
  </si>
  <si>
    <t>Plan Estratégico Institucional 2021-2025</t>
  </si>
  <si>
    <t xml:space="preserve">Un Plan de largo plazo que  contenga estrategias de intervención que permitan satisfacer las necesidades de los gobiernos locales, que marque un norte hacia dónde enfocar los recursos institucionales y sirva de guía  para el seguimiento y evaluación de esas estrategias y a su vez,  se fortalezca  el accionar de los gobiernos locales.  </t>
  </si>
  <si>
    <t xml:space="preserve"> Plan de trabajo que permita medir los productos y que puedan ser monitoreados y evaluados a partir de los resultados</t>
  </si>
  <si>
    <t>Productos entregados por parte de la Unidad de Planificación institucional:                                            1)Elaboración de presupuesto                                        2)Evaluación del POI                                                   3)Seguimiento PEI 2015-2020                                          4) Control interno y SEVRI  .                                          5) Indice de gestión institucional y elaboración de procedimientos de la UPI</t>
  </si>
  <si>
    <t xml:space="preserve">Plan de Acción 2019 del Departamento Hacendario con supervisión al cumplimiento </t>
  </si>
  <si>
    <t>Ejecutar en un 100% el Plan Anual Operativo del deparatamento hacendario que incluye  las siguientes areas:                                                        1. Gestión Tributaria                                                  2. Fiscalización Tributaria                                            3. Recaudación Tributaria.                                     4.Informes Presupuestarios(12 al año)    5.Liquidaciones Presupuestarias.               6.Informes trimestrales de ejecución      7.Elaboración de documentos presupuestarios.                                    8.Programación y realización de inversiones.                                             9.Gestión proia de la tesoreria(Pagos, caja chica, depositos bancarios, Viaticos, entre  otros)</t>
  </si>
  <si>
    <t>El programa de atención médica consta de 4 actividades ponderadas según se indica:               1) consulta médica ( 30%),                                               2) campañas de salud ( 30% ),                                   3)servicios de salud (10% ), y chequeos médicos preventivos(30%). El total de consultas se estima en 1100 casos atendidos en el año, 7 campañas de salud en el año, 1 servicio de salud continuo en el año, 82 funcionarios con su chequeo médico anual completo y expediente actualizado al finalizar el año.</t>
  </si>
  <si>
    <t>Plan de Acción 2020 del Departamento Administrativo con supervisión al cumplimiento</t>
  </si>
  <si>
    <t xml:space="preserve"> Supervisión de los Planes de Trabajo  2020 de las 4  Unidades del Departamento Administrativo.</t>
  </si>
  <si>
    <t>Plan de trabajo de la Unidad de Servicios Generales durante el año 2020</t>
  </si>
  <si>
    <t>Servicios de mantenimiento gestionados,                                      1.contratos de servicios administrados, 2.atención de giras y transportes, 3.dotación de servicios básicos y seguros,                                          4.mantenimientos de vehículos y edificio realizados</t>
  </si>
  <si>
    <t>Planes de Clima y Cultura Organizacional elaborados</t>
  </si>
  <si>
    <t xml:space="preserve">14 Planes de Acción ejecutados producto del Estudio de Clima Organizacional 
</t>
  </si>
  <si>
    <t>Plan de trabajo de la Unidad de Talento Humano</t>
  </si>
  <si>
    <t>Productos entregados por parte de Talento Humano:                                                                             1) Reclutamiento y selección.                                                 2)Desarrollo Profesional.                                             3) Estudios de reconocimientos y homologaciones.                                                                   4) Certificaciones y constancias                                         5) Vacaciones                                                                        6) Planillas</t>
  </si>
  <si>
    <t xml:space="preserve">1)Analisis de riesgos ocupacionales.                                 2) Reuniones de la comisión de Salud ocupacional. 12 sesiones.                                          3)Trabajo con brigada. 4 sesiones.                           4)Celebración de la semana de salud ocupacional.,                                                                5)Equipamiento de seguridad.                                  6) Equipo de protección personal.                            7)Capacitaciones al personal (2 actividades)  </t>
  </si>
  <si>
    <t xml:space="preserve">TOTAL PROGRAMA I </t>
  </si>
  <si>
    <t>Plan de Acción 2020 del Departamento de Gestión y fortalecimiento Municipal con supervisión al cumplimiento</t>
  </si>
  <si>
    <t xml:space="preserve">Productos de Asistencia Técnica, Financiamiento, Investigaciónes,  oferta programatica, sistematización de buenas prácticas y Capacitación entregados.                        </t>
  </si>
  <si>
    <t>INNOVACIÓN Y DESARROLLO</t>
  </si>
  <si>
    <t>A diciembre del 2020 se han concluido y validado tres (3) investigaciones sobre temas de interés institucional y para el fortalecimiento del régimen municipal.
1. Manejo de Residuos: análisis de factores generadores de residuos en la Región Caribe.
2. Cantones Inteligentes (Infraestructura tecnológica) a nivel nacional.
3. Diseño y Planificación Urbana Participativa (IFAM-MIVAH).</t>
  </si>
  <si>
    <t>Documentos conteniendo las buenas prácticas municipales nacionales y internacionales.</t>
  </si>
  <si>
    <r>
      <t xml:space="preserve">Documentos conteniendo la evaluación del movimiento OVOP (One Village One Product).  </t>
    </r>
    <r>
      <rPr>
        <b/>
        <u/>
        <sz val="9"/>
        <rFont val="Arial"/>
        <family val="2"/>
      </rPr>
      <t>(Desarrollo Económico)</t>
    </r>
  </si>
  <si>
    <t>Plan de trabajo operativo para la Unidad de Innovación y Desarrollo, para el año 2020</t>
  </si>
  <si>
    <t>SERVICIOS TÉCNICOS Y FINANCIAMIENTO</t>
  </si>
  <si>
    <t>Plan de financiamiento 2020                  PLAN NACIONAL DE DESARROLLO</t>
  </si>
  <si>
    <t>Financiamiento para la generación de planes reguladores</t>
  </si>
  <si>
    <t>Financiamiento de 3 planes reguladores</t>
  </si>
  <si>
    <t>Plan de trabajo</t>
  </si>
  <si>
    <t xml:space="preserve">100% de los productos de asistencia técnica y financiamiento entregados según lo programado, a saber:                                                                              1. Asistencias técnicas(Reembolsable y no reembolsable).                                            2.Financiamiento.                         </t>
  </si>
  <si>
    <t xml:space="preserve"> Impulsar la ejecución de proyectos para el desarrollo de capacidades locales de adaptación al cambio climático.                                                   PLAN NACIONAL DE DESARROLLO </t>
  </si>
  <si>
    <t xml:space="preserve">Proyectos de desarrollo con articulación cantonal e interinstucional abarcando ámbito económico, social, ambiental y cultural.                   (CONVENIOS)  PLAN NACIONAL DE DESARROLLO      </t>
  </si>
  <si>
    <t>Convenios gestionados que ayuden a desarrollar 6 proyectos con inversión articulada entre municipios, instituciones y cooperación internacional.                                                   Generación de alianzas para creación de acciones conjuntas relacionadas con ambiente, cambio climático y cantones inteligentes</t>
  </si>
  <si>
    <r>
      <t xml:space="preserve">Ventanilla Única  Región Huetar Caribe (Acuerdo JD-128-19/ acuerdo 6, articulo 11. SO N°19- 12/06/2019)   </t>
    </r>
    <r>
      <rPr>
        <b/>
        <u/>
        <sz val="9"/>
        <rFont val="Arial"/>
        <family val="2"/>
      </rPr>
      <t>(Desarrollo Económico)</t>
    </r>
  </si>
  <si>
    <t xml:space="preserve">Proyectos de desarrollo con articulación cantonal e interinstucional abarcando ámbito económico, social, ambiental y cultural   . (ACUERDOS)  PLAN NACIONAL DE DESARROLLO </t>
  </si>
  <si>
    <t xml:space="preserve">Acuerdos de Cooperación gestionados para desarrollar  3 proyectos con inversión articulada entre municipios, instituciones y cooperación internacional. </t>
  </si>
  <si>
    <t>CAPACITACIÓN Y FORMACIÓN</t>
  </si>
  <si>
    <t xml:space="preserve">Diseño de una herramientas de valorización del uso del suelo y  captura de plusvalía de proyectos urbanos.                                                                        Se plantea realizar talleres por Regiones con la finalidad  con un plan a 2 años en los 14 cantones donde pasa el tren como prioritario y generar capacidades en el resto de los talleres donde se pueda aplicar los tres instrumentos diseñados:
1.-Reajuste de terrenos
2.-Contribuciones especiales
3.-Cobro por Edificables  ( El monto proyectado para esta meta corresponde para el año 2020)                               </t>
  </si>
  <si>
    <t>Ejecución del 100% de la oferta de capacitación  programada en el año 2020:                                              1)XI Programa de capacitación a autoridades Municipales.                                                                2)Programa de Capacitación en gestión del cambio climático .                                                        3)Programa de Capacitación enfocado en Cantones Inteligentes.                                              4) Oferta programática                                                5) Mejoramiento de capacidades de organizaciones cantonales deportivas.</t>
  </si>
  <si>
    <t xml:space="preserve">Productos entregados según la oferta de capacitación para el periodo.                                   Productos entregados por parte de la Unidad de Capacitación y formación:                             1) Cantones amigos de la infancia.                              2) Concejo Nacional de niñez  y adolescencia.                                       3) Bandera azul ecológica                                    4) Campaña concientización frente a voto 2020. </t>
  </si>
  <si>
    <t>TECNOLOGÍAS DE LA INFORMACIÓN</t>
  </si>
  <si>
    <t>Productos entregados por parte de la Unidad de Tecnologías de la Información  :                                       1)	Traslado de Data Center                           2)	Renovación de plataforma de sistemas de información                                        3)	Renovación, actualización y mantenimiento de Página Web Institucional    4)	Automatización del Proceso de Asistencia Técnica                                               5)	Fortalecimiento de servidores institucionales</t>
  </si>
  <si>
    <t xml:space="preserve">50% correspondiente a salarios.        En este momento la AJ está atendiendo requerimientos municipales, como consultas tanto verbales como escritas. Así como consultas puntuales del DGFM relacionado con créditos y gestiones municipales. También se ha dedicado a capacitar a las autoridades municipales. Esto sin dejar de lado el quehacer conforme las competencias de la dependencia, consultas institucionales de todos los departamento y unidades, JD, PE y DE. Atención de procesos judiciales laborales, contencioso administrativo, tránsito, constitucional, tributario. contratación administrativa, proyectos de ley, entre otros Se ha ejecutado el (XXXX)%del plan de trabajo  Se realizaron 16 criterios sobre leyes y decretos que afectan el Régimen Municipal.                                                                                  •	Se emitieron 2 criterios a solicitud de la Presidencia Ejecutiva. 
•	Se emitieron 7 criterios a solicitud de la Dirección Ejecutiva. 
•	Se emitieron 3 en total criterios a solicitud de las Jefaturas y Unidades Administrativas internas.
•	Se atendieron 79 en total procesos judiciales en materia laboral. 
•	Se atendiendo 4 en total procesos judiciales en materia tributaria. 
•	Se atienden 11 en total procesos en materia tributaria administrativa. 
•	Se atienden 3 en total consultas por escrito a las municipalidades. 
•	Se atienden 20 en total consultas municipales telefónicas 
•	Se atienden 7 en total procesos judiciales en materia contencioso administrativa. 
•	Se atienden 2 contencioso tributarios 
•	Se atendieron 2 en total resoluciones determinativas 
•	Se emitieron 2 resoluciones administrativas Observaciones: 
•	Resulta importante indicar que se han atendido consultas verbales internas de funcionarios de diferentes dependencias
</t>
  </si>
  <si>
    <t xml:space="preserve">Declaratoria de Emergencia por Decreto: 42227-MP-S
Pandemia COVID-19, marca una condición crítica a nivel presupuestario y de ejecución de actividades, el presupuesto responde a llevar a cabo las actividades de forma prescencial, no obstante el aislamento y distanciamiento social requerido debido a la emergencia nacional a partir del 6 de marzo de 2020 a menos de un mes de haber iniciado el XI Programa a las nuevas autoridades impone una subejecución presupuestaria. y condición de alta incertidumbre dado lo inédito de la situación, se deberá reprogramar con tiempos cortos de ejecución dada la inestabilidad del contexto.
Esta partida cubre los siguientes recursos de capacitación:
-Contratación servicio de alimentación anual en la GAM 
-Adelanto de fondos para cubrir servicios de alimentación en las regiones 
-Contratación de servicios profesionales de consultoria:
1. comunicación multinivel para las autoridades municipales
2. gestión de residuos,
3.Estándar IFAM de proyectos infraestructura en la fase de ejecución,
  4.Planificación urbana y Ordenamiento Territorial
5.Desarrollo Económico Local, 
6. Movilidad Peatonal 
7. Cambio climático 
8. Cantones inteligentes
- XI Programa de capacitación a las nuevas autoridades municipales 2020 el cual incluye: alimentación, contratación de hoteles, contratación de consultores, compra de materiales e impresiones. 
- Se incluye un 20% para capacitaciones a solicitud de las autoridades institucionales y solicitudes a la medida de las municipalidades. </t>
  </si>
  <si>
    <t>Se han realizado Depositos por 107,967,707,20, tanto en transferencias de Capital como trasnferencias corrientes, el bajo traslado de fondos d¿se ha dado debido a que por efectos de la emergencia los ingresos han disminuido</t>
  </si>
  <si>
    <t>% EJECUCIÓN</t>
  </si>
  <si>
    <t xml:space="preserve">EJECUCIÓN REAL </t>
  </si>
  <si>
    <t>EJECUCIÓN  INSTITUCIONAL</t>
  </si>
  <si>
    <t xml:space="preserve">  25,037,438,872.51 </t>
  </si>
  <si>
    <t xml:space="preserve">    7,014,599,222.12 </t>
  </si>
  <si>
    <t>Producto 1. A la fecha se han llevado a cabo 4 Modificaciones a saber:    Mod. I, Sesión Ord. N°. 001-2020, AC-segundo del 15/01/2020                                                                                                   Mod. II, Sesión Ord. N°.002-2020, AC-tercero del 29/01/2020.                    Mod. III, Sesión Ord. N°.003-2020, AC-segundo del 12/02/2020                               Mod. IV. Sesión Ext. N°.006-2020, AC-tercero del 19/03/2020                                  I.POI-PRESUPUESTO EXT. 2020, Sesión Ext. N°.006-2020 AC-segundo                Evaluación Anual POI-PRESUPUESTO 2019, Sesión Ord. N°.003-2020, AC-sétimo.                                                                                                                                                                                           Producto 2. Evaluación del POI-PRESUPUESTO 2020, i Trimestre.  Se está en fase de recopilación de la información.  En este trimestre se hace monitoreo y seguimiento.                                               Producto 3. Se tiene el seguimiento del PEI-2015-2020 a diciembre 2019.                                                                                                 Producto 4. Sesión Ord. N°.003-2020, AC-quinto, se aprobó Informe Anual de Auto evaluación, Control Interno 2018, en la misma sesión AC-sexto, se aprobó Informe Anual de Riesgos Institucionales 2019.  Para el año 2020 se ha realizado el Plan de Acción de la Auto Evaluación como su seguimiento mensual.  Y se ha realizado seguimiento mensual de Riesgos Institucionales.   Producto 5. Indice de Gestión Institucional 2019 fue remitido a la GCR el 14 de febrero 2020.  Respecto a la elaboración de procedimientos se encuentra pendiente, debido a que se dió la elaboración de las especificaciones a la Unidad de Innovación y Desarrollo con apoyo de la UPI, sin embargo, no todas las áreas han atendido la última solicitud de insumos, necesarios para confeccionar las especificaciones técnicas y además, en la actualidad la UID se le asignó como prioridad atender el XI Programa de Capacitación para las nuevas autoridades municipales, por lo que se ha suspendido de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</si>
</sst>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_([$₡-140A]* #,##0.00_);_([$₡-140A]* \(#,##0.00\);_([$₡-140A]* &quot;-&quot;??_);_(@_)"/>
    <numFmt numFmtId="168" formatCode="0.0%"/>
    <numFmt numFmtId="169" formatCode="_-[$₡-140A]* #,##0.00_ ;_-[$₡-140A]* \-#,##0.00\ ;_-[$₡-140A]* &quot;-&quot;??_ ;_-@_ "/>
    <numFmt numFmtId="170" formatCode="[$₡-140A]#,##0.00"/>
  </numFmts>
  <fonts count="63" x14ac:knownFonts="1">
    <font>
      <sz val="11"/>
      <color theme="1"/>
      <name val="Calibri"/>
      <family val="2"/>
      <scheme val="minor"/>
    </font>
    <font>
      <b/>
      <sz val="18"/>
      <color theme="1"/>
      <name val="Calibri"/>
      <family val="2"/>
      <scheme val="minor"/>
    </font>
    <font>
      <sz val="18"/>
      <color theme="1"/>
      <name val="Calibri"/>
      <family val="2"/>
      <scheme val="minor"/>
    </font>
    <font>
      <b/>
      <sz val="14"/>
      <color theme="1"/>
      <name val="Arial"/>
      <family val="2"/>
    </font>
    <font>
      <b/>
      <sz val="12"/>
      <color theme="1"/>
      <name val="Arial"/>
      <family val="2"/>
    </font>
    <font>
      <sz val="12"/>
      <color theme="1"/>
      <name val="Arial"/>
      <family val="2"/>
    </font>
    <font>
      <b/>
      <sz val="14"/>
      <color theme="0"/>
      <name val="Arial"/>
      <family val="2"/>
    </font>
    <font>
      <b/>
      <sz val="9"/>
      <name val="Arial"/>
      <family val="2"/>
    </font>
    <font>
      <b/>
      <sz val="14"/>
      <name val="Arial"/>
      <family val="2"/>
    </font>
    <font>
      <b/>
      <sz val="8"/>
      <name val="Arial"/>
      <family val="2"/>
    </font>
    <font>
      <b/>
      <sz val="8"/>
      <color theme="0"/>
      <name val="Arial"/>
      <family val="2"/>
    </font>
    <font>
      <sz val="8"/>
      <color theme="1"/>
      <name val="Calibri"/>
      <family val="2"/>
      <scheme val="minor"/>
    </font>
    <font>
      <sz val="11"/>
      <color theme="1"/>
      <name val="Calibri"/>
      <family val="2"/>
      <scheme val="minor"/>
    </font>
    <font>
      <sz val="8"/>
      <name val="Arial"/>
      <family val="2"/>
    </font>
    <font>
      <sz val="12"/>
      <color theme="0"/>
      <name val="Arial"/>
      <family val="2"/>
    </font>
    <font>
      <b/>
      <sz val="12"/>
      <color theme="0"/>
      <name val="Arial"/>
      <family val="2"/>
    </font>
    <font>
      <b/>
      <sz val="7"/>
      <name val="Arial"/>
      <family val="2"/>
    </font>
    <font>
      <sz val="9"/>
      <name val="Arial"/>
      <family val="2"/>
    </font>
    <font>
      <sz val="11"/>
      <color theme="1"/>
      <name val="Calibri"/>
      <family val="2"/>
    </font>
    <font>
      <sz val="10"/>
      <name val="Arial"/>
      <family val="2"/>
    </font>
    <font>
      <sz val="8"/>
      <name val="Calibri"/>
      <family val="2"/>
      <scheme val="minor"/>
    </font>
    <font>
      <b/>
      <sz val="9"/>
      <color theme="1"/>
      <name val="Arial"/>
      <family val="2"/>
    </font>
    <font>
      <sz val="11"/>
      <color theme="0"/>
      <name val="Calibri"/>
      <family val="2"/>
      <scheme val="minor"/>
    </font>
    <font>
      <b/>
      <sz val="16"/>
      <color theme="1"/>
      <name val="Calibri"/>
      <family val="2"/>
      <scheme val="minor"/>
    </font>
    <font>
      <b/>
      <sz val="12"/>
      <color theme="1"/>
      <name val="Calibri"/>
      <family val="2"/>
      <scheme val="minor"/>
    </font>
    <font>
      <b/>
      <sz val="11"/>
      <color theme="1"/>
      <name val="Arial"/>
      <family val="2"/>
    </font>
    <font>
      <sz val="11"/>
      <color theme="1"/>
      <name val="Arial"/>
      <family val="2"/>
    </font>
    <font>
      <sz val="11"/>
      <color rgb="FF000000"/>
      <name val="Calibri"/>
      <family val="2"/>
    </font>
    <font>
      <sz val="10"/>
      <color rgb="FF000000"/>
      <name val="Arial"/>
      <family val="2"/>
    </font>
    <font>
      <b/>
      <sz val="10"/>
      <color rgb="FF000000"/>
      <name val="Arial"/>
      <family val="2"/>
    </font>
    <font>
      <b/>
      <sz val="11"/>
      <color rgb="FF000000"/>
      <name val="Calibri"/>
      <family val="2"/>
    </font>
    <font>
      <b/>
      <sz val="9"/>
      <color theme="1"/>
      <name val="Calibri"/>
      <family val="2"/>
      <scheme val="minor"/>
    </font>
    <font>
      <sz val="9"/>
      <color theme="1"/>
      <name val="Calibri"/>
      <family val="2"/>
      <scheme val="minor"/>
    </font>
    <font>
      <b/>
      <u/>
      <sz val="9"/>
      <name val="Arial"/>
      <family val="2"/>
    </font>
    <font>
      <b/>
      <sz val="10"/>
      <color theme="0"/>
      <name val="Arial"/>
      <family val="2"/>
    </font>
    <font>
      <b/>
      <sz val="10"/>
      <name val="Arial"/>
      <family val="2"/>
    </font>
    <font>
      <sz val="10"/>
      <color theme="1"/>
      <name val="Calibri"/>
      <family val="2"/>
      <scheme val="minor"/>
    </font>
    <font>
      <b/>
      <sz val="10.5"/>
      <name val="Arial"/>
      <family val="2"/>
    </font>
    <font>
      <sz val="10.5"/>
      <name val="Arial"/>
      <family val="2"/>
    </font>
    <font>
      <sz val="10.5"/>
      <color theme="1"/>
      <name val="Arial"/>
      <family val="2"/>
    </font>
    <font>
      <b/>
      <sz val="13"/>
      <color theme="1"/>
      <name val="Arial"/>
      <family val="2"/>
    </font>
    <font>
      <b/>
      <sz val="13"/>
      <color theme="0"/>
      <name val="Arial"/>
      <family val="2"/>
    </font>
    <font>
      <b/>
      <sz val="13"/>
      <name val="Arial"/>
      <family val="2"/>
    </font>
    <font>
      <b/>
      <sz val="8"/>
      <color theme="9" tint="-0.499984740745262"/>
      <name val="Arial"/>
      <family val="2"/>
    </font>
    <font>
      <sz val="14"/>
      <color theme="1"/>
      <name val="Calibri"/>
      <family val="2"/>
      <scheme val="minor"/>
    </font>
    <font>
      <sz val="14"/>
      <color theme="1"/>
      <name val="Arial"/>
      <family val="2"/>
    </font>
    <font>
      <sz val="9"/>
      <color indexed="81"/>
      <name val="Tahoma"/>
      <family val="2"/>
    </font>
    <font>
      <b/>
      <sz val="9"/>
      <color indexed="81"/>
      <name val="Tahoma"/>
      <family val="2"/>
    </font>
    <font>
      <b/>
      <sz val="11"/>
      <name val="Arial"/>
      <family val="2"/>
    </font>
    <font>
      <b/>
      <sz val="12"/>
      <name val="Arial"/>
      <family val="2"/>
    </font>
    <font>
      <sz val="12"/>
      <color theme="1"/>
      <name val="Calibri"/>
      <family val="2"/>
      <scheme val="minor"/>
    </font>
    <font>
      <sz val="8"/>
      <color indexed="8"/>
      <name val="Courier New"/>
      <family val="3"/>
    </font>
    <font>
      <sz val="8"/>
      <color indexed="8"/>
      <name val="Arial"/>
      <family val="2"/>
    </font>
    <font>
      <sz val="10"/>
      <color indexed="8"/>
      <name val="Arial"/>
      <family val="2"/>
    </font>
    <font>
      <b/>
      <sz val="11"/>
      <color theme="1"/>
      <name val="Calibri"/>
      <family val="2"/>
      <scheme val="minor"/>
    </font>
    <font>
      <b/>
      <sz val="10"/>
      <name val="Arial"/>
      <family val="2"/>
    </font>
    <font>
      <b/>
      <sz val="9"/>
      <name val="Arial"/>
      <family val="2"/>
    </font>
    <font>
      <sz val="10.5"/>
      <name val="Arial"/>
      <family val="2"/>
    </font>
    <font>
      <b/>
      <sz val="9"/>
      <color rgb="FF000000"/>
      <name val="Arial"/>
      <family val="2"/>
    </font>
    <font>
      <sz val="11"/>
      <name val="Calibri"/>
      <family val="2"/>
      <scheme val="minor"/>
    </font>
    <font>
      <sz val="11"/>
      <name val="Arial"/>
      <family val="2"/>
    </font>
    <font>
      <b/>
      <sz val="11"/>
      <name val="Calibri"/>
      <family val="2"/>
      <scheme val="minor"/>
    </font>
    <font>
      <sz val="11"/>
      <color rgb="FF404040"/>
      <name val="Arial"/>
      <family val="2"/>
    </font>
  </fonts>
  <fills count="2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C00000"/>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0F7595"/>
        <bgColor indexed="64"/>
      </patternFill>
    </fill>
    <fill>
      <patternFill patternType="solid">
        <fgColor theme="7"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DBDBDB"/>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8EA9DB"/>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ck">
        <color theme="0"/>
      </bottom>
      <diagonal/>
    </border>
    <border>
      <left/>
      <right/>
      <top/>
      <bottom style="medium">
        <color indexed="64"/>
      </bottom>
      <diagonal/>
    </border>
    <border>
      <left/>
      <right/>
      <top/>
      <bottom style="medium">
        <color theme="0"/>
      </bottom>
      <diagonal/>
    </border>
    <border>
      <left/>
      <right style="thick">
        <color theme="0"/>
      </right>
      <top style="thick">
        <color theme="0"/>
      </top>
      <bottom style="thick">
        <color theme="0"/>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medium">
        <color theme="0"/>
      </left>
      <right/>
      <top style="thick">
        <color theme="0"/>
      </top>
      <bottom style="thick">
        <color theme="0"/>
      </bottom>
      <diagonal/>
    </border>
    <border>
      <left/>
      <right style="thin">
        <color indexed="64"/>
      </right>
      <top style="thick">
        <color theme="0"/>
      </top>
      <bottom style="thick">
        <color theme="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12">
    <xf numFmtId="0" fontId="0" fillId="0" borderId="0"/>
    <xf numFmtId="9"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41" fontId="12" fillId="0" borderId="0" applyFont="0" applyFill="0" applyBorder="0" applyAlignment="0" applyProtection="0"/>
    <xf numFmtId="0" fontId="19" fillId="0" borderId="0"/>
    <xf numFmtId="41" fontId="12" fillId="0" borderId="0" applyFont="0" applyFill="0" applyBorder="0" applyAlignment="0" applyProtection="0"/>
    <xf numFmtId="0" fontId="12" fillId="0" borderId="0"/>
    <xf numFmtId="0" fontId="12" fillId="0" borderId="0"/>
    <xf numFmtId="0" fontId="12" fillId="0" borderId="0"/>
    <xf numFmtId="0" fontId="19" fillId="0" borderId="0"/>
    <xf numFmtId="165" fontId="12" fillId="0" borderId="0" applyFont="0" applyFill="0" applyBorder="0" applyAlignment="0" applyProtection="0"/>
  </cellStyleXfs>
  <cellXfs count="483">
    <xf numFmtId="0" fontId="0" fillId="0" borderId="0" xfId="0"/>
    <xf numFmtId="0" fontId="0" fillId="0" borderId="0" xfId="0"/>
    <xf numFmtId="0" fontId="2" fillId="0" borderId="0" xfId="0" applyFont="1"/>
    <xf numFmtId="0" fontId="5" fillId="0" borderId="0" xfId="0" applyFont="1"/>
    <xf numFmtId="0" fontId="4" fillId="0" borderId="0" xfId="0" applyFont="1" applyAlignment="1">
      <alignment vertical="center"/>
    </xf>
    <xf numFmtId="0" fontId="5" fillId="0" borderId="0" xfId="0" applyFont="1" applyAlignment="1"/>
    <xf numFmtId="0" fontId="7" fillId="3" borderId="3" xfId="0" applyFont="1" applyFill="1" applyBorder="1" applyAlignment="1">
      <alignment horizontal="center" vertical="center" wrapText="1"/>
    </xf>
    <xf numFmtId="0" fontId="1" fillId="0" borderId="0" xfId="0" applyFont="1" applyAlignment="1"/>
    <xf numFmtId="0" fontId="5" fillId="0" borderId="0" xfId="0" applyFont="1" applyFill="1"/>
    <xf numFmtId="0" fontId="5" fillId="0" borderId="0" xfId="0" applyFont="1" applyFill="1" applyAlignment="1"/>
    <xf numFmtId="0" fontId="4" fillId="0" borderId="14" xfId="0" applyFont="1" applyBorder="1" applyAlignment="1">
      <alignment vertical="center"/>
    </xf>
    <xf numFmtId="0" fontId="4" fillId="6" borderId="14" xfId="0" applyFont="1" applyFill="1" applyBorder="1" applyAlignment="1">
      <alignment vertical="center"/>
    </xf>
    <xf numFmtId="0" fontId="4" fillId="0" borderId="0" xfId="0" applyFont="1" applyBorder="1" applyAlignment="1">
      <alignment vertical="center"/>
    </xf>
    <xf numFmtId="0" fontId="9" fillId="5" borderId="12" xfId="0" applyFont="1" applyFill="1" applyBorder="1" applyAlignment="1">
      <alignment horizontal="center" vertical="center" wrapText="1"/>
    </xf>
    <xf numFmtId="0" fontId="1" fillId="0" borderId="0" xfId="0" applyFont="1"/>
    <xf numFmtId="0" fontId="0" fillId="0" borderId="0" xfId="0" applyAlignment="1">
      <alignment horizontal="center"/>
    </xf>
    <xf numFmtId="165" fontId="7" fillId="3" borderId="3" xfId="2" applyFont="1" applyFill="1" applyBorder="1" applyAlignment="1">
      <alignment horizontal="center" vertical="center" wrapText="1"/>
    </xf>
    <xf numFmtId="0" fontId="0" fillId="0" borderId="0" xfId="0" applyAlignment="1">
      <alignment wrapText="1"/>
    </xf>
    <xf numFmtId="0" fontId="7" fillId="3" borderId="8"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8" fillId="10" borderId="25" xfId="0" applyFont="1" applyFill="1" applyBorder="1" applyAlignment="1">
      <alignment vertical="center" wrapText="1"/>
    </xf>
    <xf numFmtId="0" fontId="0" fillId="0" borderId="0" xfId="0"/>
    <xf numFmtId="0" fontId="0" fillId="0" borderId="0" xfId="0" applyAlignment="1">
      <alignment horizontal="center"/>
    </xf>
    <xf numFmtId="0" fontId="7" fillId="3" borderId="4" xfId="0" applyFont="1" applyFill="1" applyBorder="1" applyAlignment="1">
      <alignment horizontal="justify" vertical="top" wrapText="1"/>
    </xf>
    <xf numFmtId="0" fontId="7" fillId="2" borderId="3" xfId="0" applyFont="1" applyFill="1" applyBorder="1" applyAlignment="1">
      <alignment vertical="center" wrapText="1"/>
    </xf>
    <xf numFmtId="0" fontId="1" fillId="11" borderId="0" xfId="0" applyFont="1" applyFill="1" applyAlignment="1"/>
    <xf numFmtId="0" fontId="2" fillId="11" borderId="0" xfId="0" applyFont="1" applyFill="1"/>
    <xf numFmtId="0" fontId="5" fillId="11" borderId="0" xfId="0" applyFont="1" applyFill="1"/>
    <xf numFmtId="0" fontId="4" fillId="11" borderId="0" xfId="0" applyFont="1" applyFill="1" applyAlignment="1">
      <alignment vertical="center"/>
    </xf>
    <xf numFmtId="0" fontId="5" fillId="11" borderId="0" xfId="0" applyFont="1" applyFill="1" applyAlignment="1"/>
    <xf numFmtId="0" fontId="0" fillId="11" borderId="0" xfId="0" applyFill="1"/>
    <xf numFmtId="0" fontId="7" fillId="3" borderId="3" xfId="0" applyFont="1" applyFill="1" applyBorder="1" applyAlignment="1">
      <alignment vertical="top" wrapText="1"/>
    </xf>
    <xf numFmtId="0" fontId="7" fillId="3" borderId="3" xfId="0" applyFont="1" applyFill="1" applyBorder="1" applyAlignment="1">
      <alignment horizontal="justify" vertical="top" wrapText="1"/>
    </xf>
    <xf numFmtId="0" fontId="7" fillId="3" borderId="4" xfId="0" applyFont="1" applyFill="1" applyBorder="1" applyAlignment="1">
      <alignment horizontal="center" vertical="top" wrapText="1"/>
    </xf>
    <xf numFmtId="3" fontId="7" fillId="3" borderId="4" xfId="0" applyNumberFormat="1" applyFont="1" applyFill="1" applyBorder="1" applyAlignment="1">
      <alignment horizontal="center" vertical="top" wrapText="1"/>
    </xf>
    <xf numFmtId="168" fontId="7" fillId="3" borderId="4" xfId="1" applyNumberFormat="1" applyFont="1" applyFill="1" applyBorder="1" applyAlignment="1">
      <alignment horizontal="center" vertical="top" wrapText="1"/>
    </xf>
    <xf numFmtId="9" fontId="7" fillId="3" borderId="3" xfId="0" applyNumberFormat="1" applyFont="1" applyFill="1" applyBorder="1" applyAlignment="1">
      <alignment horizontal="center" vertical="top" wrapText="1"/>
    </xf>
    <xf numFmtId="0" fontId="7" fillId="3" borderId="3" xfId="0" applyFont="1" applyFill="1" applyBorder="1" applyAlignment="1">
      <alignment horizontal="center" vertical="top" wrapText="1"/>
    </xf>
    <xf numFmtId="167" fontId="9" fillId="3" borderId="3" xfId="0" applyNumberFormat="1" applyFont="1" applyFill="1" applyBorder="1" applyAlignment="1">
      <alignment vertical="top" wrapText="1"/>
    </xf>
    <xf numFmtId="0" fontId="0" fillId="11" borderId="0" xfId="0" applyFill="1" applyAlignment="1">
      <alignment vertical="top"/>
    </xf>
    <xf numFmtId="0" fontId="0" fillId="0" borderId="0" xfId="0" applyAlignment="1">
      <alignment vertical="top"/>
    </xf>
    <xf numFmtId="165" fontId="7" fillId="11" borderId="3" xfId="2" applyFont="1" applyFill="1" applyBorder="1" applyAlignment="1">
      <alignment horizontal="center" vertical="top" wrapText="1"/>
    </xf>
    <xf numFmtId="165" fontId="7" fillId="3" borderId="3" xfId="2" applyFont="1" applyFill="1" applyBorder="1" applyAlignment="1">
      <alignment horizontal="center" vertical="top" wrapText="1"/>
    </xf>
    <xf numFmtId="169" fontId="7" fillId="3" borderId="3" xfId="0" applyNumberFormat="1" applyFont="1" applyFill="1" applyBorder="1" applyAlignment="1">
      <alignment horizontal="center" vertical="top" wrapText="1"/>
    </xf>
    <xf numFmtId="165" fontId="7" fillId="3" borderId="4" xfId="2" applyFont="1" applyFill="1" applyBorder="1" applyAlignment="1">
      <alignment horizontal="center" vertical="top" wrapText="1"/>
    </xf>
    <xf numFmtId="3" fontId="7" fillId="3" borderId="3" xfId="0" applyNumberFormat="1" applyFont="1" applyFill="1" applyBorder="1" applyAlignment="1">
      <alignment horizontal="center" vertical="top" wrapText="1"/>
    </xf>
    <xf numFmtId="0" fontId="7" fillId="3" borderId="6" xfId="0" applyFont="1" applyFill="1" applyBorder="1" applyAlignment="1">
      <alignment horizontal="center" vertical="top" wrapText="1"/>
    </xf>
    <xf numFmtId="167" fontId="7" fillId="3" borderId="3" xfId="0" applyNumberFormat="1" applyFont="1" applyFill="1" applyBorder="1" applyAlignment="1">
      <alignment vertical="top" wrapText="1"/>
    </xf>
    <xf numFmtId="0" fontId="7" fillId="3" borderId="3" xfId="0" applyFont="1" applyFill="1" applyBorder="1" applyAlignment="1">
      <alignment horizontal="left" vertical="top" wrapText="1"/>
    </xf>
    <xf numFmtId="168" fontId="7" fillId="3" borderId="4" xfId="1" applyNumberFormat="1" applyFont="1" applyFill="1" applyBorder="1" applyAlignment="1">
      <alignment vertical="top" wrapText="1"/>
    </xf>
    <xf numFmtId="165" fontId="7" fillId="2" borderId="3" xfId="0" applyNumberFormat="1" applyFont="1" applyFill="1" applyBorder="1" applyAlignment="1">
      <alignment vertical="center" wrapText="1"/>
    </xf>
    <xf numFmtId="165" fontId="7" fillId="3" borderId="3" xfId="2" applyFont="1" applyFill="1" applyBorder="1" applyAlignment="1">
      <alignment vertical="top" wrapText="1"/>
    </xf>
    <xf numFmtId="9" fontId="7" fillId="3" borderId="3" xfId="0" applyNumberFormat="1" applyFont="1" applyFill="1" applyBorder="1" applyAlignment="1">
      <alignment vertical="top" wrapText="1"/>
    </xf>
    <xf numFmtId="0" fontId="4" fillId="0" borderId="0" xfId="0" applyFont="1" applyBorder="1" applyAlignment="1">
      <alignment horizontal="center" vertical="center"/>
    </xf>
    <xf numFmtId="166" fontId="7" fillId="3" borderId="4" xfId="3" applyFont="1" applyFill="1" applyBorder="1" applyAlignment="1">
      <alignment horizontal="center" vertical="top" wrapText="1"/>
    </xf>
    <xf numFmtId="0" fontId="0" fillId="11" borderId="0" xfId="0" applyFill="1" applyBorder="1"/>
    <xf numFmtId="0" fontId="16" fillId="5" borderId="4" xfId="0" applyFont="1" applyFill="1" applyBorder="1" applyAlignment="1">
      <alignment horizontal="center" vertical="center" wrapText="1"/>
    </xf>
    <xf numFmtId="0" fontId="24" fillId="0" borderId="2" xfId="0" applyFont="1" applyBorder="1" applyAlignment="1">
      <alignment vertical="center"/>
    </xf>
    <xf numFmtId="0" fontId="24" fillId="0" borderId="28" xfId="0" applyFont="1" applyBorder="1" applyAlignment="1">
      <alignment vertical="center"/>
    </xf>
    <xf numFmtId="0" fontId="24" fillId="0" borderId="14" xfId="0" applyFont="1" applyBorder="1" applyAlignment="1">
      <alignment vertical="center"/>
    </xf>
    <xf numFmtId="0" fontId="17" fillId="0" borderId="29" xfId="0" applyFont="1" applyBorder="1" applyAlignment="1">
      <alignment horizontal="justify" vertical="center" wrapText="1"/>
    </xf>
    <xf numFmtId="0" fontId="17" fillId="0" borderId="29" xfId="0" applyFont="1" applyBorder="1" applyAlignment="1">
      <alignment vertical="center" wrapText="1"/>
    </xf>
    <xf numFmtId="0" fontId="17" fillId="0" borderId="33" xfId="0" applyFont="1" applyBorder="1" applyAlignment="1">
      <alignment horizontal="justify" vertical="center" wrapText="1"/>
    </xf>
    <xf numFmtId="0" fontId="22" fillId="0" borderId="0" xfId="0" applyFont="1"/>
    <xf numFmtId="166" fontId="22" fillId="0" borderId="0" xfId="3" applyFont="1"/>
    <xf numFmtId="164" fontId="27" fillId="14" borderId="29" xfId="0" applyNumberFormat="1" applyFont="1" applyFill="1" applyBorder="1" applyAlignment="1">
      <alignment horizontal="center" vertical="center"/>
    </xf>
    <xf numFmtId="0" fontId="27" fillId="14" borderId="29" xfId="0" applyFont="1" applyFill="1" applyBorder="1" applyAlignment="1">
      <alignment horizontal="center" vertical="center"/>
    </xf>
    <xf numFmtId="0" fontId="27" fillId="15" borderId="30" xfId="0" applyFont="1" applyFill="1" applyBorder="1" applyAlignment="1">
      <alignment horizontal="center" vertical="center"/>
    </xf>
    <xf numFmtId="0" fontId="27" fillId="15" borderId="29" xfId="0" applyFont="1" applyFill="1" applyBorder="1" applyAlignment="1">
      <alignment horizontal="center" vertical="center"/>
    </xf>
    <xf numFmtId="164" fontId="27" fillId="15" borderId="29" xfId="0" applyNumberFormat="1" applyFont="1" applyFill="1" applyBorder="1" applyAlignment="1">
      <alignment horizontal="center" vertical="center"/>
    </xf>
    <xf numFmtId="0" fontId="28" fillId="15" borderId="29"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30" fillId="12" borderId="14" xfId="0" applyFont="1" applyFill="1" applyBorder="1" applyAlignment="1">
      <alignment horizontal="center" vertical="center" wrapText="1"/>
    </xf>
    <xf numFmtId="0" fontId="27" fillId="0" borderId="34" xfId="0" applyFont="1" applyBorder="1" applyAlignment="1">
      <alignment horizontal="center" vertical="center"/>
    </xf>
    <xf numFmtId="0" fontId="28" fillId="0" borderId="30" xfId="0" applyFont="1" applyBorder="1" applyAlignment="1">
      <alignment horizontal="left" vertical="center" wrapText="1"/>
    </xf>
    <xf numFmtId="10" fontId="27" fillId="0" borderId="14" xfId="1" applyNumberFormat="1" applyFont="1" applyBorder="1" applyAlignment="1">
      <alignment horizontal="center" vertical="center"/>
    </xf>
    <xf numFmtId="0" fontId="28" fillId="0" borderId="29" xfId="0" applyFont="1" applyBorder="1" applyAlignment="1">
      <alignment horizontal="center" vertical="center" wrapText="1"/>
    </xf>
    <xf numFmtId="0" fontId="27" fillId="0" borderId="1" xfId="0" applyFont="1" applyBorder="1" applyAlignment="1">
      <alignment horizontal="center" vertical="center"/>
    </xf>
    <xf numFmtId="0" fontId="28" fillId="0" borderId="28" xfId="0" applyFont="1" applyBorder="1" applyAlignment="1">
      <alignment horizontal="left" vertical="center" wrapText="1"/>
    </xf>
    <xf numFmtId="0" fontId="28" fillId="0" borderId="14" xfId="0" applyFont="1" applyBorder="1" applyAlignment="1">
      <alignment horizontal="center" vertical="center" wrapText="1"/>
    </xf>
    <xf numFmtId="0" fontId="0" fillId="11" borderId="25" xfId="0" applyFill="1" applyBorder="1"/>
    <xf numFmtId="166" fontId="0" fillId="11" borderId="25" xfId="3" applyFont="1" applyFill="1" applyBorder="1"/>
    <xf numFmtId="0" fontId="27" fillId="0" borderId="0" xfId="0" applyFont="1" applyAlignment="1">
      <alignment horizontal="center" vertical="center"/>
    </xf>
    <xf numFmtId="0" fontId="28" fillId="0" borderId="0" xfId="0" applyFont="1" applyAlignment="1">
      <alignment horizontal="center" vertical="center" wrapText="1"/>
    </xf>
    <xf numFmtId="164" fontId="27" fillId="0" borderId="0" xfId="0" applyNumberFormat="1" applyFont="1" applyAlignment="1">
      <alignment horizontal="center" vertical="center"/>
    </xf>
    <xf numFmtId="10" fontId="27" fillId="0" borderId="0" xfId="1" applyNumberFormat="1" applyFont="1" applyAlignment="1">
      <alignment horizontal="center" vertical="center"/>
    </xf>
    <xf numFmtId="164" fontId="0" fillId="16" borderId="36" xfId="0" applyNumberFormat="1" applyFill="1" applyBorder="1" applyAlignment="1">
      <alignment horizontal="center"/>
    </xf>
    <xf numFmtId="165" fontId="0" fillId="0" borderId="0" xfId="2" applyFont="1"/>
    <xf numFmtId="165" fontId="0" fillId="0" borderId="0" xfId="0" applyNumberFormat="1"/>
    <xf numFmtId="0" fontId="0" fillId="5" borderId="0" xfId="0" applyFill="1" applyAlignment="1">
      <alignment horizontal="center"/>
    </xf>
    <xf numFmtId="164" fontId="0" fillId="0" borderId="0" xfId="0" applyNumberFormat="1" applyAlignment="1">
      <alignment horizontal="center"/>
    </xf>
    <xf numFmtId="10" fontId="0" fillId="0" borderId="0" xfId="1" applyNumberFormat="1" applyFont="1" applyAlignment="1">
      <alignment horizontal="center"/>
    </xf>
    <xf numFmtId="164" fontId="0" fillId="5" borderId="0" xfId="0" applyNumberFormat="1" applyFill="1" applyAlignment="1">
      <alignment horizontal="center"/>
    </xf>
    <xf numFmtId="9" fontId="0" fillId="5" borderId="0" xfId="1" applyFont="1" applyFill="1" applyAlignment="1">
      <alignment horizontal="center"/>
    </xf>
    <xf numFmtId="164" fontId="27" fillId="0" borderId="29" xfId="0" applyNumberFormat="1" applyFont="1" applyBorder="1" applyAlignment="1">
      <alignment horizontal="left" vertical="center"/>
    </xf>
    <xf numFmtId="10" fontId="27" fillId="0" borderId="14" xfId="1" applyNumberFormat="1" applyFont="1" applyBorder="1" applyAlignment="1">
      <alignment horizontal="left" vertical="center"/>
    </xf>
    <xf numFmtId="164" fontId="27" fillId="0" borderId="29" xfId="0" applyNumberFormat="1" applyFont="1" applyBorder="1" applyAlignment="1">
      <alignment horizontal="center" vertical="center"/>
    </xf>
    <xf numFmtId="168" fontId="7" fillId="3" borderId="4" xfId="1" applyNumberFormat="1" applyFont="1" applyFill="1" applyBorder="1" applyAlignment="1">
      <alignment horizontal="left" vertical="top" wrapText="1"/>
    </xf>
    <xf numFmtId="9" fontId="7" fillId="3" borderId="3" xfId="1" applyFont="1" applyFill="1" applyBorder="1" applyAlignment="1">
      <alignment horizontal="center" vertical="top" wrapText="1"/>
    </xf>
    <xf numFmtId="0" fontId="7" fillId="3" borderId="3" xfId="0" applyFont="1" applyFill="1" applyBorder="1" applyAlignment="1">
      <alignment vertical="center" wrapText="1"/>
    </xf>
    <xf numFmtId="167" fontId="9" fillId="3" borderId="3" xfId="0" applyNumberFormat="1" applyFont="1" applyFill="1" applyBorder="1" applyAlignment="1">
      <alignment vertical="center" wrapText="1"/>
    </xf>
    <xf numFmtId="0" fontId="9" fillId="3" borderId="3" xfId="0" applyFont="1" applyFill="1" applyBorder="1" applyAlignment="1">
      <alignment vertical="center" wrapText="1"/>
    </xf>
    <xf numFmtId="165" fontId="9" fillId="11" borderId="3" xfId="2"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4" xfId="0" applyFont="1" applyFill="1" applyBorder="1" applyAlignment="1">
      <alignment horizontal="center" vertical="center" wrapText="1"/>
    </xf>
    <xf numFmtId="165" fontId="9" fillId="11" borderId="4" xfId="2" applyFont="1" applyFill="1" applyBorder="1" applyAlignment="1">
      <alignment horizontal="center" vertical="center" wrapText="1"/>
    </xf>
    <xf numFmtId="0" fontId="13" fillId="11" borderId="4" xfId="0" applyFont="1" applyFill="1" applyBorder="1" applyAlignment="1">
      <alignment vertical="top" wrapText="1"/>
    </xf>
    <xf numFmtId="0" fontId="11" fillId="11" borderId="0" xfId="0" applyFont="1" applyFill="1" applyAlignment="1">
      <alignment wrapText="1"/>
    </xf>
    <xf numFmtId="0" fontId="31" fillId="0" borderId="0" xfId="0" applyFont="1" applyAlignment="1">
      <alignment horizontal="center"/>
    </xf>
    <xf numFmtId="0" fontId="32" fillId="0" borderId="0" xfId="0" applyFont="1" applyAlignment="1">
      <alignment horizontal="center"/>
    </xf>
    <xf numFmtId="165" fontId="7" fillId="5" borderId="4" xfId="2" applyFont="1" applyFill="1" applyBorder="1" applyAlignment="1">
      <alignment horizontal="center" vertical="center" wrapText="1"/>
    </xf>
    <xf numFmtId="0" fontId="7" fillId="12" borderId="3" xfId="0" applyFont="1" applyFill="1" applyBorder="1" applyAlignment="1">
      <alignment horizontal="center" vertical="top" wrapText="1"/>
    </xf>
    <xf numFmtId="167" fontId="9" fillId="12" borderId="3" xfId="0" applyNumberFormat="1" applyFont="1" applyFill="1" applyBorder="1" applyAlignment="1">
      <alignment horizontal="center" vertical="top" wrapText="1"/>
    </xf>
    <xf numFmtId="165" fontId="7" fillId="12" borderId="3" xfId="2" applyFont="1" applyFill="1" applyBorder="1" applyAlignment="1">
      <alignment horizontal="left" vertical="top" wrapText="1"/>
    </xf>
    <xf numFmtId="165" fontId="7" fillId="12" borderId="3" xfId="0" applyNumberFormat="1" applyFont="1" applyFill="1" applyBorder="1" applyAlignment="1">
      <alignment vertical="top" wrapText="1"/>
    </xf>
    <xf numFmtId="165" fontId="9" fillId="3" borderId="3" xfId="2" applyFont="1" applyFill="1" applyBorder="1" applyAlignment="1">
      <alignment vertical="top" wrapText="1"/>
    </xf>
    <xf numFmtId="0" fontId="35" fillId="5" borderId="8" xfId="0" applyFont="1" applyFill="1" applyBorder="1" applyAlignment="1">
      <alignment horizontal="center" vertical="center" wrapText="1"/>
    </xf>
    <xf numFmtId="0" fontId="35" fillId="5" borderId="10"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6" xfId="0" applyFont="1" applyFill="1" applyBorder="1" applyAlignment="1">
      <alignment horizontal="center" vertical="center"/>
    </xf>
    <xf numFmtId="0" fontId="35" fillId="5" borderId="4"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6" fillId="5" borderId="0" xfId="0" applyFont="1" applyFill="1" applyBorder="1" applyAlignment="1">
      <alignment horizontal="center" vertical="center" wrapText="1"/>
    </xf>
    <xf numFmtId="0" fontId="36" fillId="5" borderId="6" xfId="0" applyFont="1" applyFill="1" applyBorder="1" applyAlignment="1">
      <alignment horizontal="center" vertical="center" wrapText="1"/>
    </xf>
    <xf numFmtId="165" fontId="7" fillId="3" borderId="3" xfId="2" applyFont="1" applyFill="1" applyBorder="1" applyAlignment="1">
      <alignment horizontal="left" vertical="center" wrapText="1"/>
    </xf>
    <xf numFmtId="0" fontId="21" fillId="12" borderId="1" xfId="0" applyFont="1" applyFill="1" applyBorder="1" applyAlignment="1">
      <alignment horizontal="center" vertical="center" wrapText="1"/>
    </xf>
    <xf numFmtId="9" fontId="7" fillId="3" borderId="4" xfId="1" applyNumberFormat="1" applyFont="1" applyFill="1" applyBorder="1" applyAlignment="1">
      <alignment horizontal="center" vertical="top" wrapText="1"/>
    </xf>
    <xf numFmtId="164" fontId="27" fillId="17" borderId="25" xfId="0" applyNumberFormat="1" applyFont="1" applyFill="1" applyBorder="1" applyAlignment="1">
      <alignment horizontal="center" vertical="center"/>
    </xf>
    <xf numFmtId="9" fontId="27" fillId="17" borderId="25" xfId="1" applyFont="1" applyFill="1" applyBorder="1" applyAlignment="1">
      <alignment horizontal="center" vertical="center"/>
    </xf>
    <xf numFmtId="0" fontId="28" fillId="17" borderId="14" xfId="0" applyFont="1" applyFill="1" applyBorder="1" applyAlignment="1">
      <alignment horizontal="center" vertical="center" wrapText="1"/>
    </xf>
    <xf numFmtId="164" fontId="27" fillId="17" borderId="14" xfId="0" applyNumberFormat="1" applyFont="1" applyFill="1" applyBorder="1" applyAlignment="1">
      <alignment horizontal="center" vertical="center"/>
    </xf>
    <xf numFmtId="10" fontId="27" fillId="17" borderId="14" xfId="1" applyNumberFormat="1" applyFont="1" applyFill="1" applyBorder="1" applyAlignment="1">
      <alignment horizontal="center" vertical="center"/>
    </xf>
    <xf numFmtId="0" fontId="28" fillId="17" borderId="28" xfId="0" applyFont="1" applyFill="1" applyBorder="1" applyAlignment="1">
      <alignment horizontal="center" vertical="center" wrapText="1"/>
    </xf>
    <xf numFmtId="0" fontId="27" fillId="11" borderId="38" xfId="0" applyFont="1" applyFill="1" applyBorder="1" applyAlignment="1">
      <alignment horizontal="center" vertical="center"/>
    </xf>
    <xf numFmtId="164" fontId="27" fillId="11" borderId="38" xfId="0" applyNumberFormat="1" applyFont="1" applyFill="1" applyBorder="1" applyAlignment="1">
      <alignment horizontal="center" vertical="center"/>
    </xf>
    <xf numFmtId="0" fontId="27" fillId="11" borderId="25" xfId="0" applyFont="1" applyFill="1" applyBorder="1" applyAlignment="1">
      <alignment horizontal="center" vertical="center"/>
    </xf>
    <xf numFmtId="164" fontId="27" fillId="11" borderId="25" xfId="0" applyNumberFormat="1" applyFont="1" applyFill="1" applyBorder="1" applyAlignment="1">
      <alignment horizontal="center" vertical="center"/>
    </xf>
    <xf numFmtId="0" fontId="24" fillId="0" borderId="45" xfId="0" applyFont="1" applyBorder="1" applyAlignment="1">
      <alignment vertical="center"/>
    </xf>
    <xf numFmtId="0" fontId="24" fillId="0" borderId="45" xfId="0" applyFont="1" applyBorder="1" applyAlignment="1">
      <alignment vertical="center" wrapText="1"/>
    </xf>
    <xf numFmtId="0" fontId="0" fillId="13" borderId="46" xfId="0" applyFill="1" applyBorder="1"/>
    <xf numFmtId="0" fontId="0" fillId="13" borderId="0" xfId="0" applyFill="1" applyBorder="1"/>
    <xf numFmtId="0" fontId="5" fillId="13" borderId="46" xfId="0" applyFont="1" applyFill="1" applyBorder="1" applyAlignment="1">
      <alignment vertical="center"/>
    </xf>
    <xf numFmtId="0" fontId="26" fillId="13" borderId="0" xfId="0" applyFont="1" applyFill="1" applyBorder="1"/>
    <xf numFmtId="0" fontId="35" fillId="2" borderId="3" xfId="0" applyFont="1" applyFill="1" applyBorder="1" applyAlignment="1">
      <alignment horizontal="center" vertical="center" wrapText="1"/>
    </xf>
    <xf numFmtId="0" fontId="35" fillId="3" borderId="3" xfId="0" applyFont="1" applyFill="1" applyBorder="1" applyAlignment="1">
      <alignment vertical="top" wrapText="1"/>
    </xf>
    <xf numFmtId="0" fontId="35" fillId="3" borderId="3" xfId="0" applyFont="1" applyFill="1" applyBorder="1" applyAlignment="1">
      <alignment horizontal="justify" vertical="top" wrapText="1"/>
    </xf>
    <xf numFmtId="0" fontId="35" fillId="3" borderId="4" xfId="0" applyFont="1" applyFill="1" applyBorder="1" applyAlignment="1">
      <alignment horizontal="justify" vertical="top" wrapText="1"/>
    </xf>
    <xf numFmtId="0" fontId="35" fillId="3" borderId="4" xfId="0" applyFont="1" applyFill="1" applyBorder="1" applyAlignment="1">
      <alignment horizontal="center" vertical="top" wrapText="1"/>
    </xf>
    <xf numFmtId="3" fontId="35" fillId="3" borderId="4" xfId="0" applyNumberFormat="1" applyFont="1" applyFill="1" applyBorder="1" applyAlignment="1">
      <alignment horizontal="center" vertical="top" wrapText="1"/>
    </xf>
    <xf numFmtId="168" fontId="35" fillId="3" borderId="4" xfId="1" applyNumberFormat="1" applyFont="1" applyFill="1" applyBorder="1" applyAlignment="1">
      <alignment horizontal="center" vertical="top" wrapText="1"/>
    </xf>
    <xf numFmtId="9" fontId="35" fillId="3" borderId="3" xfId="0" applyNumberFormat="1" applyFont="1" applyFill="1" applyBorder="1" applyAlignment="1">
      <alignment horizontal="center" vertical="top" wrapText="1"/>
    </xf>
    <xf numFmtId="0" fontId="35" fillId="3" borderId="3" xfId="0" applyFont="1" applyFill="1" applyBorder="1" applyAlignment="1">
      <alignment horizontal="center" vertical="top" wrapText="1"/>
    </xf>
    <xf numFmtId="167" fontId="35" fillId="3" borderId="3" xfId="0" applyNumberFormat="1" applyFont="1" applyFill="1" applyBorder="1" applyAlignment="1">
      <alignment vertical="top" wrapText="1"/>
    </xf>
    <xf numFmtId="9" fontId="35" fillId="3" borderId="3" xfId="1" applyFont="1" applyFill="1" applyBorder="1" applyAlignment="1">
      <alignment horizontal="center" vertical="top" wrapText="1"/>
    </xf>
    <xf numFmtId="0" fontId="37" fillId="5" borderId="9" xfId="0" applyFont="1" applyFill="1" applyBorder="1" applyAlignment="1">
      <alignment vertical="center" wrapText="1"/>
    </xf>
    <xf numFmtId="0" fontId="39" fillId="3" borderId="3" xfId="0" applyFont="1" applyFill="1" applyBorder="1" applyAlignment="1">
      <alignment vertical="top" wrapText="1"/>
    </xf>
    <xf numFmtId="0" fontId="38" fillId="3" borderId="3" xfId="0" applyFont="1" applyFill="1" applyBorder="1" applyAlignment="1">
      <alignment vertical="top" wrapText="1"/>
    </xf>
    <xf numFmtId="0" fontId="38" fillId="3" borderId="3" xfId="0" applyNumberFormat="1" applyFont="1" applyFill="1" applyBorder="1" applyAlignment="1">
      <alignment horizontal="left" vertical="top" wrapText="1"/>
    </xf>
    <xf numFmtId="0" fontId="38" fillId="3" borderId="3" xfId="2" applyNumberFormat="1" applyFont="1" applyFill="1" applyBorder="1" applyAlignment="1">
      <alignment horizontal="left" vertical="center" wrapText="1"/>
    </xf>
    <xf numFmtId="0" fontId="42" fillId="0" borderId="0" xfId="0" applyFont="1" applyBorder="1" applyAlignment="1">
      <alignment vertical="center"/>
    </xf>
    <xf numFmtId="0" fontId="40" fillId="0" borderId="0" xfId="0" applyFont="1" applyBorder="1" applyAlignment="1">
      <alignment vertical="center"/>
    </xf>
    <xf numFmtId="168" fontId="35" fillId="3" borderId="4" xfId="1" applyNumberFormat="1" applyFont="1" applyFill="1" applyBorder="1" applyAlignment="1">
      <alignment vertical="top" wrapText="1"/>
    </xf>
    <xf numFmtId="9" fontId="35" fillId="3" borderId="3" xfId="0" applyNumberFormat="1" applyFont="1" applyFill="1" applyBorder="1" applyAlignment="1">
      <alignment vertical="top" wrapText="1"/>
    </xf>
    <xf numFmtId="168" fontId="35" fillId="3" borderId="4" xfId="1" applyNumberFormat="1" applyFont="1" applyFill="1" applyBorder="1" applyAlignment="1">
      <alignment horizontal="left" vertical="top" wrapText="1"/>
    </xf>
    <xf numFmtId="9" fontId="35" fillId="3" borderId="4" xfId="3" applyNumberFormat="1" applyFont="1" applyFill="1" applyBorder="1" applyAlignment="1">
      <alignment horizontal="center" vertical="top" wrapText="1"/>
    </xf>
    <xf numFmtId="0" fontId="35" fillId="2" borderId="3" xfId="0" applyFont="1" applyFill="1" applyBorder="1" applyAlignment="1">
      <alignment vertical="center" wrapText="1"/>
    </xf>
    <xf numFmtId="0" fontId="11" fillId="0" borderId="0" xfId="0" applyFont="1"/>
    <xf numFmtId="0" fontId="44" fillId="0" borderId="0" xfId="0" applyFont="1" applyAlignment="1">
      <alignment horizontal="center"/>
    </xf>
    <xf numFmtId="0" fontId="44" fillId="0" borderId="0" xfId="0" applyFont="1"/>
    <xf numFmtId="0" fontId="3" fillId="7" borderId="2" xfId="0" applyFont="1" applyFill="1" applyBorder="1" applyAlignment="1">
      <alignment horizontal="center" vertical="center"/>
    </xf>
    <xf numFmtId="0" fontId="45" fillId="7" borderId="2" xfId="0" applyFont="1" applyFill="1" applyBorder="1" applyAlignment="1">
      <alignment horizontal="center"/>
    </xf>
    <xf numFmtId="0" fontId="45" fillId="7" borderId="2" xfId="0" applyFont="1" applyFill="1" applyBorder="1"/>
    <xf numFmtId="0" fontId="45" fillId="7" borderId="14" xfId="0" applyFont="1" applyFill="1" applyBorder="1"/>
    <xf numFmtId="0" fontId="38" fillId="3" borderId="3" xfId="0" applyFont="1" applyFill="1" applyBorder="1" applyAlignment="1">
      <alignment horizontal="justify" vertical="top" wrapText="1"/>
    </xf>
    <xf numFmtId="0" fontId="38" fillId="3" borderId="4" xfId="0" applyFont="1" applyFill="1" applyBorder="1" applyAlignment="1">
      <alignment horizontal="justify" vertical="top" wrapText="1"/>
    </xf>
    <xf numFmtId="0" fontId="38" fillId="3" borderId="4" xfId="0" applyFont="1" applyFill="1" applyBorder="1" applyAlignment="1">
      <alignment horizontal="center" vertical="top" wrapText="1"/>
    </xf>
    <xf numFmtId="3" fontId="38" fillId="3" borderId="4" xfId="0" applyNumberFormat="1" applyFont="1" applyFill="1" applyBorder="1" applyAlignment="1">
      <alignment horizontal="center" vertical="top" wrapText="1"/>
    </xf>
    <xf numFmtId="168" fontId="38" fillId="3" borderId="4" xfId="1" applyNumberFormat="1" applyFont="1" applyFill="1" applyBorder="1" applyAlignment="1">
      <alignment horizontal="center" vertical="top" wrapText="1"/>
    </xf>
    <xf numFmtId="9" fontId="38" fillId="3" borderId="3" xfId="0" applyNumberFormat="1" applyFont="1" applyFill="1" applyBorder="1" applyAlignment="1">
      <alignment horizontal="center" vertical="top" wrapText="1"/>
    </xf>
    <xf numFmtId="0" fontId="38" fillId="3" borderId="3" xfId="0" applyFont="1" applyFill="1" applyBorder="1" applyAlignment="1">
      <alignment horizontal="center" vertical="top" wrapText="1"/>
    </xf>
    <xf numFmtId="167" fontId="38" fillId="3" borderId="3" xfId="0" applyNumberFormat="1" applyFont="1" applyFill="1" applyBorder="1" applyAlignment="1">
      <alignment vertical="top" wrapText="1"/>
    </xf>
    <xf numFmtId="0" fontId="38" fillId="5" borderId="16" xfId="0" applyFont="1" applyFill="1" applyBorder="1" applyAlignment="1">
      <alignment vertical="top" wrapText="1"/>
    </xf>
    <xf numFmtId="0" fontId="38" fillId="5" borderId="22" xfId="0" applyFont="1" applyFill="1" applyBorder="1" applyAlignment="1">
      <alignment vertical="top" wrapText="1"/>
    </xf>
    <xf numFmtId="9" fontId="38" fillId="3" borderId="3" xfId="1" applyFont="1" applyFill="1" applyBorder="1" applyAlignment="1">
      <alignment horizontal="center" vertical="top" wrapText="1"/>
    </xf>
    <xf numFmtId="167" fontId="38" fillId="2" borderId="16" xfId="0" applyNumberFormat="1" applyFont="1" applyFill="1" applyBorder="1" applyAlignment="1">
      <alignment vertical="top" wrapText="1"/>
    </xf>
    <xf numFmtId="166" fontId="38" fillId="3" borderId="3" xfId="3" applyFont="1" applyFill="1" applyBorder="1" applyAlignment="1">
      <alignment horizontal="center" vertical="top" wrapText="1"/>
    </xf>
    <xf numFmtId="0" fontId="39" fillId="3" borderId="3" xfId="0" applyFont="1" applyFill="1" applyBorder="1" applyAlignment="1">
      <alignment horizontal="justify" vertical="top" wrapText="1"/>
    </xf>
    <xf numFmtId="0" fontId="39" fillId="3" borderId="4" xfId="0" applyFont="1" applyFill="1" applyBorder="1" applyAlignment="1">
      <alignment horizontal="justify" vertical="top" wrapText="1"/>
    </xf>
    <xf numFmtId="0" fontId="39" fillId="3" borderId="4" xfId="0" applyFont="1" applyFill="1" applyBorder="1" applyAlignment="1">
      <alignment horizontal="center" vertical="top" wrapText="1"/>
    </xf>
    <xf numFmtId="3" fontId="39" fillId="3" borderId="4" xfId="0" applyNumberFormat="1" applyFont="1" applyFill="1" applyBorder="1" applyAlignment="1">
      <alignment horizontal="center" vertical="top" wrapText="1"/>
    </xf>
    <xf numFmtId="168" fontId="39" fillId="3" borderId="4" xfId="1" applyNumberFormat="1" applyFont="1" applyFill="1" applyBorder="1" applyAlignment="1">
      <alignment horizontal="center" vertical="top" wrapText="1"/>
    </xf>
    <xf numFmtId="0" fontId="39" fillId="3" borderId="3" xfId="0" applyFont="1" applyFill="1" applyBorder="1" applyAlignment="1">
      <alignment horizontal="center" vertical="top" wrapText="1"/>
    </xf>
    <xf numFmtId="167" fontId="39" fillId="3" borderId="3" xfId="0" applyNumberFormat="1" applyFont="1" applyFill="1" applyBorder="1" applyAlignment="1">
      <alignment vertical="top" wrapText="1"/>
    </xf>
    <xf numFmtId="10" fontId="38" fillId="3" borderId="3" xfId="0" applyNumberFormat="1" applyFont="1" applyFill="1" applyBorder="1" applyAlignment="1">
      <alignment horizontal="center" vertical="top" wrapText="1"/>
    </xf>
    <xf numFmtId="165" fontId="38" fillId="3" borderId="3" xfId="2" applyFont="1" applyFill="1" applyBorder="1" applyAlignment="1">
      <alignment horizontal="center" vertical="top" wrapText="1"/>
    </xf>
    <xf numFmtId="169" fontId="38" fillId="3" borderId="3" xfId="0" applyNumberFormat="1" applyFont="1" applyFill="1" applyBorder="1" applyAlignment="1">
      <alignment horizontal="center" vertical="top" wrapText="1"/>
    </xf>
    <xf numFmtId="0" fontId="38" fillId="3" borderId="3" xfId="0" applyFont="1" applyFill="1" applyBorder="1" applyAlignment="1">
      <alignment horizontal="left" vertical="top" wrapText="1"/>
    </xf>
    <xf numFmtId="168" fontId="38" fillId="3" borderId="4" xfId="1" applyNumberFormat="1" applyFont="1" applyFill="1" applyBorder="1" applyAlignment="1">
      <alignment horizontal="center" vertical="center" wrapText="1"/>
    </xf>
    <xf numFmtId="0" fontId="38" fillId="3" borderId="4" xfId="0" applyFont="1" applyFill="1" applyBorder="1" applyAlignment="1">
      <alignment horizontal="justify" vertical="center" wrapText="1"/>
    </xf>
    <xf numFmtId="0" fontId="38" fillId="3" borderId="3" xfId="0" applyFont="1" applyFill="1" applyBorder="1" applyAlignment="1">
      <alignment vertical="center" wrapText="1"/>
    </xf>
    <xf numFmtId="9" fontId="38" fillId="3" borderId="3" xfId="0" applyNumberFormat="1" applyFont="1" applyFill="1" applyBorder="1" applyAlignment="1">
      <alignment horizontal="center" vertical="center" wrapText="1"/>
    </xf>
    <xf numFmtId="0" fontId="38" fillId="3" borderId="3" xfId="0" applyFont="1" applyFill="1" applyBorder="1" applyAlignment="1">
      <alignment horizontal="center" vertical="center" wrapText="1"/>
    </xf>
    <xf numFmtId="9" fontId="38" fillId="3" borderId="3" xfId="1" applyFont="1" applyFill="1" applyBorder="1" applyAlignment="1">
      <alignment horizontal="center" vertical="center" wrapText="1"/>
    </xf>
    <xf numFmtId="167" fontId="38" fillId="3" borderId="3" xfId="0" applyNumberFormat="1" applyFont="1" applyFill="1" applyBorder="1" applyAlignment="1">
      <alignment vertical="center" wrapText="1"/>
    </xf>
    <xf numFmtId="165" fontId="38" fillId="5" borderId="16" xfId="2" applyFont="1" applyFill="1" applyBorder="1" applyAlignment="1">
      <alignment vertical="top" wrapText="1"/>
    </xf>
    <xf numFmtId="0" fontId="17" fillId="2" borderId="3" xfId="0" applyFont="1" applyFill="1" applyBorder="1" applyAlignment="1">
      <alignment horizontal="center" vertical="top" wrapText="1"/>
    </xf>
    <xf numFmtId="0" fontId="17" fillId="5" borderId="3" xfId="0" applyFont="1" applyFill="1" applyBorder="1" applyAlignment="1">
      <alignment horizontal="center" vertical="top" wrapText="1"/>
    </xf>
    <xf numFmtId="0" fontId="17" fillId="5" borderId="4" xfId="0" applyFont="1" applyFill="1" applyBorder="1" applyAlignment="1">
      <alignment horizontal="center" vertical="top" wrapText="1"/>
    </xf>
    <xf numFmtId="165" fontId="7" fillId="3" borderId="6" xfId="2" applyFont="1" applyFill="1" applyBorder="1" applyAlignment="1">
      <alignment horizontal="center" vertical="top" wrapText="1"/>
    </xf>
    <xf numFmtId="165" fontId="9" fillId="5" borderId="4" xfId="2" applyFont="1" applyFill="1" applyBorder="1" applyAlignment="1">
      <alignment horizontal="center" vertical="center" wrapText="1"/>
    </xf>
    <xf numFmtId="165" fontId="48" fillId="5" borderId="4" xfId="2" applyFont="1" applyFill="1" applyBorder="1" applyAlignment="1">
      <alignment horizontal="center" vertical="center" wrapText="1"/>
    </xf>
    <xf numFmtId="4" fontId="0" fillId="0" borderId="0" xfId="0" applyNumberFormat="1"/>
    <xf numFmtId="165" fontId="0" fillId="0" borderId="0" xfId="2" applyFont="1" applyAlignment="1">
      <alignment horizontal="center"/>
    </xf>
    <xf numFmtId="0" fontId="49" fillId="5" borderId="4" xfId="0" applyFont="1" applyFill="1" applyBorder="1" applyAlignment="1">
      <alignment horizontal="center" vertical="center" wrapText="1"/>
    </xf>
    <xf numFmtId="165" fontId="49" fillId="5" borderId="4" xfId="2" applyFont="1" applyFill="1" applyBorder="1" applyAlignment="1">
      <alignment horizontal="center" vertical="center" wrapText="1"/>
    </xf>
    <xf numFmtId="44" fontId="49" fillId="5" borderId="4" xfId="0" applyNumberFormat="1" applyFont="1" applyFill="1" applyBorder="1" applyAlignment="1">
      <alignment horizontal="center" vertical="center" wrapText="1"/>
    </xf>
    <xf numFmtId="0" fontId="50" fillId="0" borderId="0" xfId="0" applyFont="1"/>
    <xf numFmtId="165" fontId="9" fillId="5" borderId="4" xfId="0" applyNumberFormat="1" applyFont="1" applyFill="1" applyBorder="1" applyAlignment="1">
      <alignment horizontal="center" vertical="center" wrapText="1"/>
    </xf>
    <xf numFmtId="165" fontId="48" fillId="5" borderId="4" xfId="2" applyFont="1" applyFill="1" applyBorder="1" applyAlignment="1">
      <alignment horizontal="left" vertical="center" wrapText="1"/>
    </xf>
    <xf numFmtId="165" fontId="48" fillId="5" borderId="4" xfId="0" applyNumberFormat="1" applyFont="1" applyFill="1" applyBorder="1" applyAlignment="1">
      <alignment horizontal="center" vertical="center" wrapText="1"/>
    </xf>
    <xf numFmtId="44" fontId="48" fillId="5" borderId="4" xfId="0" applyNumberFormat="1" applyFont="1" applyFill="1" applyBorder="1" applyAlignment="1">
      <alignment horizontal="center" vertical="center" wrapText="1"/>
    </xf>
    <xf numFmtId="0" fontId="0" fillId="0" borderId="0" xfId="0" applyFont="1"/>
    <xf numFmtId="0" fontId="51" fillId="0" borderId="50" xfId="0" applyFont="1" applyBorder="1" applyAlignment="1">
      <alignment horizontal="left" vertical="top"/>
    </xf>
    <xf numFmtId="0" fontId="52" fillId="0" borderId="0" xfId="0" applyFont="1" applyAlignment="1">
      <alignment horizontal="left" vertical="top" wrapText="1" readingOrder="1"/>
    </xf>
    <xf numFmtId="0" fontId="53" fillId="0" borderId="0" xfId="0" applyFont="1" applyAlignment="1">
      <alignment horizontal="left" vertical="top" wrapText="1" readingOrder="1"/>
    </xf>
    <xf numFmtId="166" fontId="0" fillId="0" borderId="0" xfId="0" applyNumberFormat="1" applyFont="1"/>
    <xf numFmtId="165" fontId="35" fillId="5" borderId="4" xfId="0" applyNumberFormat="1" applyFont="1" applyFill="1" applyBorder="1" applyAlignment="1">
      <alignment horizontal="center" vertical="center" wrapText="1"/>
    </xf>
    <xf numFmtId="165" fontId="49" fillId="5" borderId="4" xfId="0" applyNumberFormat="1" applyFont="1" applyFill="1" applyBorder="1" applyAlignment="1">
      <alignment horizontal="center" vertical="center" wrapText="1"/>
    </xf>
    <xf numFmtId="43" fontId="9" fillId="5" borderId="4" xfId="0" applyNumberFormat="1" applyFont="1" applyFill="1" applyBorder="1" applyAlignment="1">
      <alignment horizontal="center" vertical="center" wrapText="1"/>
    </xf>
    <xf numFmtId="43" fontId="49" fillId="5" borderId="4" xfId="0" applyNumberFormat="1" applyFont="1" applyFill="1" applyBorder="1" applyAlignment="1">
      <alignment horizontal="center" vertical="center" wrapText="1"/>
    </xf>
    <xf numFmtId="10" fontId="27" fillId="0" borderId="25" xfId="1" applyNumberFormat="1" applyFont="1" applyBorder="1" applyAlignment="1">
      <alignment horizontal="center" vertical="center"/>
    </xf>
    <xf numFmtId="165" fontId="0" fillId="0" borderId="25" xfId="2" applyFont="1" applyBorder="1"/>
    <xf numFmtId="0" fontId="0" fillId="0" borderId="25" xfId="0" applyBorder="1"/>
    <xf numFmtId="0" fontId="0" fillId="0" borderId="25" xfId="0" applyFont="1" applyBorder="1"/>
    <xf numFmtId="0" fontId="10" fillId="4" borderId="16" xfId="0" applyFont="1" applyFill="1" applyBorder="1" applyAlignment="1">
      <alignment horizontal="center" vertical="center" wrapText="1"/>
    </xf>
    <xf numFmtId="0" fontId="9" fillId="5" borderId="13" xfId="0" applyFont="1" applyFill="1" applyBorder="1" applyAlignment="1">
      <alignment vertical="center" wrapText="1"/>
    </xf>
    <xf numFmtId="0" fontId="9" fillId="5" borderId="9" xfId="0" applyFont="1" applyFill="1" applyBorder="1" applyAlignment="1">
      <alignment vertical="center" wrapText="1"/>
    </xf>
    <xf numFmtId="0" fontId="48" fillId="5" borderId="19" xfId="0" applyFont="1" applyFill="1" applyBorder="1" applyAlignment="1">
      <alignment vertical="center" wrapText="1"/>
    </xf>
    <xf numFmtId="165" fontId="48" fillId="5" borderId="3" xfId="2" applyFont="1" applyFill="1" applyBorder="1" applyAlignment="1">
      <alignment horizontal="center" vertical="center" wrapText="1"/>
    </xf>
    <xf numFmtId="167" fontId="48" fillId="5" borderId="16" xfId="0" applyNumberFormat="1" applyFont="1" applyFill="1" applyBorder="1" applyAlignment="1">
      <alignment vertical="top" wrapText="1"/>
    </xf>
    <xf numFmtId="0" fontId="48" fillId="5" borderId="16" xfId="0" applyFont="1" applyFill="1" applyBorder="1" applyAlignment="1">
      <alignment vertical="top" wrapText="1"/>
    </xf>
    <xf numFmtId="0" fontId="48" fillId="5" borderId="22" xfId="0" applyFont="1" applyFill="1" applyBorder="1" applyAlignment="1">
      <alignment vertical="top" wrapText="1"/>
    </xf>
    <xf numFmtId="0" fontId="54" fillId="11" borderId="0" xfId="0" applyFont="1" applyFill="1" applyAlignment="1">
      <alignment vertical="top"/>
    </xf>
    <xf numFmtId="0" fontId="54" fillId="0" borderId="0" xfId="0" applyFont="1" applyAlignment="1">
      <alignment vertical="top"/>
    </xf>
    <xf numFmtId="167" fontId="49" fillId="2" borderId="16" xfId="0" applyNumberFormat="1" applyFont="1" applyFill="1" applyBorder="1" applyAlignment="1">
      <alignment vertical="top" wrapText="1"/>
    </xf>
    <xf numFmtId="0" fontId="49" fillId="5" borderId="16" xfId="0" applyFont="1" applyFill="1" applyBorder="1" applyAlignment="1">
      <alignment vertical="top" wrapText="1"/>
    </xf>
    <xf numFmtId="0" fontId="49" fillId="5" borderId="22" xfId="0" applyFont="1" applyFill="1" applyBorder="1" applyAlignment="1">
      <alignment vertical="top" wrapText="1"/>
    </xf>
    <xf numFmtId="0" fontId="24" fillId="11" borderId="0" xfId="0" applyFont="1" applyFill="1" applyAlignment="1">
      <alignment vertical="top"/>
    </xf>
    <xf numFmtId="0" fontId="24" fillId="0" borderId="0" xfId="0" applyFont="1" applyAlignment="1">
      <alignment vertical="top"/>
    </xf>
    <xf numFmtId="167" fontId="48" fillId="5" borderId="11" xfId="0" applyNumberFormat="1" applyFont="1" applyFill="1" applyBorder="1" applyAlignment="1">
      <alignment vertical="center" wrapText="1"/>
    </xf>
    <xf numFmtId="0" fontId="9" fillId="5" borderId="8" xfId="0" applyFont="1" applyFill="1" applyBorder="1" applyAlignment="1">
      <alignment horizontal="left" vertical="center" wrapText="1"/>
    </xf>
    <xf numFmtId="0" fontId="0" fillId="11" borderId="0" xfId="0" applyFill="1" applyAlignment="1">
      <alignment horizontal="left" vertical="center"/>
    </xf>
    <xf numFmtId="0" fontId="0" fillId="0" borderId="0" xfId="0" applyAlignment="1">
      <alignment horizontal="left" vertical="center"/>
    </xf>
    <xf numFmtId="165" fontId="27" fillId="17" borderId="14" xfId="2" applyFont="1" applyFill="1" applyBorder="1" applyAlignment="1">
      <alignment horizontal="center" vertical="center"/>
    </xf>
    <xf numFmtId="9" fontId="27" fillId="17" borderId="14" xfId="1" applyFont="1" applyFill="1" applyBorder="1" applyAlignment="1">
      <alignment horizontal="center" vertical="center"/>
    </xf>
    <xf numFmtId="0" fontId="55" fillId="3" borderId="3" xfId="0" applyFont="1" applyFill="1" applyBorder="1" applyAlignment="1">
      <alignment vertical="top" wrapText="1"/>
    </xf>
    <xf numFmtId="165" fontId="56" fillId="3" borderId="4" xfId="2" applyFont="1" applyFill="1" applyBorder="1" applyAlignment="1">
      <alignment horizontal="center" vertical="top" wrapText="1"/>
    </xf>
    <xf numFmtId="0" fontId="56" fillId="3" borderId="3" xfId="0" applyFont="1" applyFill="1" applyBorder="1" applyAlignment="1">
      <alignment vertical="top" wrapText="1"/>
    </xf>
    <xf numFmtId="0" fontId="7" fillId="3" borderId="3" xfId="0" applyNumberFormat="1" applyFont="1" applyFill="1" applyBorder="1" applyAlignment="1">
      <alignment vertical="top" wrapText="1"/>
    </xf>
    <xf numFmtId="0" fontId="57" fillId="3" borderId="4" xfId="0" applyFont="1" applyFill="1" applyBorder="1" applyAlignment="1">
      <alignment horizontal="center" vertical="top" wrapText="1"/>
    </xf>
    <xf numFmtId="167" fontId="57" fillId="3" borderId="3" xfId="0" applyNumberFormat="1" applyFont="1" applyFill="1" applyBorder="1" applyAlignment="1">
      <alignment vertical="top" wrapText="1"/>
    </xf>
    <xf numFmtId="0" fontId="55" fillId="19" borderId="3" xfId="0" applyFont="1" applyFill="1" applyBorder="1" applyAlignment="1">
      <alignment vertical="top" wrapText="1"/>
    </xf>
    <xf numFmtId="49" fontId="7" fillId="3" borderId="3" xfId="0" applyNumberFormat="1" applyFont="1" applyFill="1" applyBorder="1" applyAlignment="1">
      <alignment horizontal="left" vertical="top" wrapText="1"/>
    </xf>
    <xf numFmtId="49" fontId="7" fillId="3" borderId="3" xfId="0" applyNumberFormat="1" applyFont="1" applyFill="1" applyBorder="1" applyAlignment="1">
      <alignment vertical="top" wrapText="1"/>
    </xf>
    <xf numFmtId="167" fontId="38" fillId="3" borderId="3" xfId="0" applyNumberFormat="1" applyFont="1" applyFill="1" applyBorder="1" applyAlignment="1">
      <alignment horizontal="center" vertical="center" wrapText="1"/>
    </xf>
    <xf numFmtId="0" fontId="56" fillId="3" borderId="3" xfId="0" applyFont="1" applyFill="1" applyBorder="1" applyAlignment="1">
      <alignment horizontal="left" vertical="top" wrapText="1"/>
    </xf>
    <xf numFmtId="0" fontId="58" fillId="3" borderId="3" xfId="0" applyFont="1" applyFill="1" applyBorder="1" applyAlignment="1">
      <alignment horizontal="left" vertical="top" wrapText="1"/>
    </xf>
    <xf numFmtId="165" fontId="7" fillId="3" borderId="4" xfId="2" applyFont="1" applyFill="1" applyBorder="1" applyAlignment="1">
      <alignment horizontal="left" vertical="top" wrapText="1"/>
    </xf>
    <xf numFmtId="0" fontId="38" fillId="3" borderId="4" xfId="0" applyFont="1" applyFill="1" applyBorder="1" applyAlignment="1">
      <alignment horizontal="left" vertical="top" wrapText="1"/>
    </xf>
    <xf numFmtId="165" fontId="56" fillId="3" borderId="3" xfId="2" applyFont="1" applyFill="1" applyBorder="1" applyAlignment="1">
      <alignment horizontal="center" vertical="top" wrapText="1"/>
    </xf>
    <xf numFmtId="10" fontId="7" fillId="3" borderId="3" xfId="0" applyNumberFormat="1" applyFont="1" applyFill="1" applyBorder="1" applyAlignment="1">
      <alignment horizontal="center" vertical="top" wrapText="1"/>
    </xf>
    <xf numFmtId="0" fontId="7" fillId="0" borderId="29" xfId="0" applyFont="1" applyBorder="1" applyAlignment="1">
      <alignment vertical="center" wrapText="1"/>
    </xf>
    <xf numFmtId="0" fontId="21" fillId="12" borderId="1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wrapText="1"/>
    </xf>
    <xf numFmtId="0" fontId="9" fillId="5" borderId="8" xfId="0" applyFont="1" applyFill="1" applyBorder="1" applyAlignment="1">
      <alignment horizontal="center" vertical="center"/>
    </xf>
    <xf numFmtId="0" fontId="9" fillId="5" borderId="4"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48" fillId="5" borderId="4" xfId="0" applyFont="1" applyFill="1" applyBorder="1" applyAlignment="1">
      <alignment horizontal="center" vertical="center" wrapText="1"/>
    </xf>
    <xf numFmtId="0" fontId="0" fillId="16" borderId="36" xfId="0" applyFill="1" applyBorder="1" applyAlignment="1">
      <alignment horizontal="center"/>
    </xf>
    <xf numFmtId="0" fontId="29" fillId="12" borderId="14" xfId="0" applyFont="1" applyFill="1" applyBorder="1" applyAlignment="1">
      <alignment horizontal="center" vertical="center" wrapText="1"/>
    </xf>
    <xf numFmtId="0" fontId="27" fillId="17" borderId="1" xfId="0" applyFont="1" applyFill="1" applyBorder="1" applyAlignment="1">
      <alignment horizontal="center" vertical="center"/>
    </xf>
    <xf numFmtId="4" fontId="51" fillId="0" borderId="50" xfId="0" applyNumberFormat="1" applyFont="1" applyBorder="1" applyAlignment="1">
      <alignment horizontal="right" vertical="top"/>
    </xf>
    <xf numFmtId="0" fontId="52" fillId="0" borderId="0" xfId="0" applyFont="1" applyAlignment="1">
      <alignment horizontal="center" vertical="top" wrapText="1" readingOrder="1"/>
    </xf>
    <xf numFmtId="170" fontId="49" fillId="5" borderId="4" xfId="0" applyNumberFormat="1" applyFont="1" applyFill="1" applyBorder="1" applyAlignment="1">
      <alignment horizontal="center" vertical="center" wrapText="1"/>
    </xf>
    <xf numFmtId="170" fontId="16" fillId="5" borderId="4" xfId="0" applyNumberFormat="1" applyFont="1" applyFill="1" applyBorder="1" applyAlignment="1">
      <alignment horizontal="center" vertical="center" wrapText="1"/>
    </xf>
    <xf numFmtId="170" fontId="7" fillId="3" borderId="4" xfId="2" applyNumberFormat="1" applyFont="1" applyFill="1" applyBorder="1" applyAlignment="1">
      <alignment horizontal="center" vertical="top" wrapText="1"/>
    </xf>
    <xf numFmtId="170" fontId="7" fillId="3" borderId="3" xfId="2" applyNumberFormat="1" applyFont="1" applyFill="1" applyBorder="1" applyAlignment="1">
      <alignment horizontal="center" vertical="top" wrapText="1"/>
    </xf>
    <xf numFmtId="170" fontId="35" fillId="5" borderId="4" xfId="0" applyNumberFormat="1" applyFont="1" applyFill="1" applyBorder="1" applyAlignment="1">
      <alignment horizontal="center" vertical="center" wrapText="1"/>
    </xf>
    <xf numFmtId="170" fontId="9" fillId="5" borderId="4" xfId="0" applyNumberFormat="1" applyFont="1" applyFill="1" applyBorder="1" applyAlignment="1">
      <alignment horizontal="center" vertical="center" wrapText="1"/>
    </xf>
    <xf numFmtId="170" fontId="9" fillId="5" borderId="4" xfId="2" applyNumberFormat="1" applyFont="1" applyFill="1" applyBorder="1" applyAlignment="1">
      <alignment horizontal="center" vertical="center" wrapText="1"/>
    </xf>
    <xf numFmtId="170" fontId="56" fillId="3" borderId="4" xfId="2" applyNumberFormat="1" applyFont="1" applyFill="1" applyBorder="1" applyAlignment="1">
      <alignment horizontal="center" vertical="top" wrapText="1"/>
    </xf>
    <xf numFmtId="170" fontId="48" fillId="5" borderId="4" xfId="0" applyNumberFormat="1" applyFont="1" applyFill="1" applyBorder="1" applyAlignment="1">
      <alignment horizontal="center" vertical="center" wrapText="1"/>
    </xf>
    <xf numFmtId="170" fontId="56" fillId="3" borderId="3" xfId="0" applyNumberFormat="1" applyFont="1" applyFill="1" applyBorder="1" applyAlignment="1">
      <alignment vertical="top" wrapText="1"/>
    </xf>
    <xf numFmtId="170" fontId="7" fillId="3" borderId="4" xfId="1" applyNumberFormat="1" applyFont="1" applyFill="1" applyBorder="1" applyAlignment="1">
      <alignment horizontal="center" vertical="top" wrapText="1"/>
    </xf>
    <xf numFmtId="170" fontId="7" fillId="3" borderId="3" xfId="0" applyNumberFormat="1" applyFont="1" applyFill="1" applyBorder="1" applyAlignment="1">
      <alignment vertical="top" wrapText="1"/>
    </xf>
    <xf numFmtId="170" fontId="7" fillId="3" borderId="3" xfId="2" applyNumberFormat="1" applyFont="1" applyFill="1" applyBorder="1" applyAlignment="1">
      <alignment vertical="top" wrapText="1"/>
    </xf>
    <xf numFmtId="168" fontId="9" fillId="3" borderId="4" xfId="1" applyNumberFormat="1" applyFont="1" applyFill="1" applyBorder="1" applyAlignment="1">
      <alignment horizontal="left" vertical="top" wrapText="1"/>
    </xf>
    <xf numFmtId="9" fontId="7" fillId="3" borderId="6" xfId="0" applyNumberFormat="1" applyFont="1" applyFill="1" applyBorder="1" applyAlignment="1">
      <alignment horizontal="center" vertical="top" wrapText="1"/>
    </xf>
    <xf numFmtId="0" fontId="27" fillId="17" borderId="25" xfId="0" applyFont="1" applyFill="1" applyBorder="1" applyAlignment="1">
      <alignment horizontal="center" vertical="center"/>
    </xf>
    <xf numFmtId="0" fontId="29" fillId="12" borderId="14" xfId="0" applyFont="1" applyFill="1" applyBorder="1" applyAlignment="1">
      <alignment horizontal="center" vertical="center" wrapText="1"/>
    </xf>
    <xf numFmtId="0" fontId="0" fillId="0" borderId="0" xfId="0" quotePrefix="1"/>
    <xf numFmtId="0" fontId="30" fillId="17" borderId="31" xfId="0" applyFont="1" applyFill="1" applyBorder="1" applyAlignment="1">
      <alignment vertical="center"/>
    </xf>
    <xf numFmtId="0" fontId="30" fillId="17" borderId="43" xfId="0" applyFont="1" applyFill="1" applyBorder="1" applyAlignment="1">
      <alignment vertical="center"/>
    </xf>
    <xf numFmtId="165" fontId="0" fillId="0" borderId="25" xfId="2" applyFont="1" applyBorder="1" applyAlignment="1">
      <alignment horizontal="center"/>
    </xf>
    <xf numFmtId="0" fontId="0" fillId="0" borderId="25" xfId="0" applyFont="1" applyBorder="1" applyAlignment="1">
      <alignment horizontal="center"/>
    </xf>
    <xf numFmtId="10" fontId="0" fillId="0" borderId="25" xfId="1" applyNumberFormat="1" applyFont="1" applyBorder="1" applyAlignment="1">
      <alignment horizontal="center"/>
    </xf>
    <xf numFmtId="10" fontId="27" fillId="17" borderId="25" xfId="1" applyNumberFormat="1" applyFont="1" applyFill="1" applyBorder="1" applyAlignment="1">
      <alignment horizontal="center" vertical="center"/>
    </xf>
    <xf numFmtId="0" fontId="27" fillId="0" borderId="25" xfId="0" applyFont="1" applyBorder="1" applyAlignment="1">
      <alignment horizontal="center" vertical="center"/>
    </xf>
    <xf numFmtId="0" fontId="28" fillId="0" borderId="25" xfId="0" applyFont="1" applyBorder="1" applyAlignment="1">
      <alignment horizontal="left" vertical="center" wrapText="1"/>
    </xf>
    <xf numFmtId="0" fontId="28" fillId="0" borderId="25" xfId="0" applyFont="1" applyBorder="1" applyAlignment="1">
      <alignment horizontal="center" vertical="center" wrapText="1"/>
    </xf>
    <xf numFmtId="164" fontId="27" fillId="0" borderId="25" xfId="0" applyNumberFormat="1" applyFont="1" applyBorder="1" applyAlignment="1">
      <alignment horizontal="center" vertical="center"/>
    </xf>
    <xf numFmtId="167" fontId="60" fillId="2" borderId="3" xfId="0" applyNumberFormat="1" applyFont="1" applyFill="1" applyBorder="1" applyAlignment="1">
      <alignment horizontal="center" vertical="top" wrapText="1"/>
    </xf>
    <xf numFmtId="9" fontId="7" fillId="11" borderId="3" xfId="1" applyFont="1" applyFill="1" applyBorder="1" applyAlignment="1">
      <alignment horizontal="center" vertical="top" wrapText="1"/>
    </xf>
    <xf numFmtId="9" fontId="0" fillId="11" borderId="0" xfId="1" applyFont="1" applyFill="1" applyAlignment="1">
      <alignment vertical="top"/>
    </xf>
    <xf numFmtId="9" fontId="7" fillId="11" borderId="0" xfId="1" applyFont="1" applyFill="1" applyBorder="1" applyAlignment="1">
      <alignment horizontal="center" vertical="center" wrapText="1"/>
    </xf>
    <xf numFmtId="165" fontId="0" fillId="11" borderId="0" xfId="2" applyFont="1" applyFill="1" applyAlignment="1">
      <alignment horizontal="center" vertical="center"/>
    </xf>
    <xf numFmtId="165" fontId="7" fillId="11" borderId="3" xfId="2" applyFont="1" applyFill="1" applyBorder="1" applyAlignment="1">
      <alignment horizontal="center" vertical="center" wrapText="1"/>
    </xf>
    <xf numFmtId="165" fontId="0" fillId="0" borderId="0" xfId="2" applyFont="1" applyAlignment="1">
      <alignment horizontal="center" vertical="center"/>
    </xf>
    <xf numFmtId="10" fontId="27" fillId="0" borderId="29" xfId="1" applyNumberFormat="1" applyFont="1" applyBorder="1" applyAlignment="1">
      <alignment horizontal="center" vertical="center"/>
    </xf>
    <xf numFmtId="0" fontId="29" fillId="12" borderId="2" xfId="0" applyFont="1" applyFill="1" applyBorder="1" applyAlignment="1">
      <alignment horizontal="center" vertical="center" wrapText="1"/>
    </xf>
    <xf numFmtId="10" fontId="27" fillId="11" borderId="51" xfId="1" applyNumberFormat="1" applyFont="1" applyFill="1" applyBorder="1" applyAlignment="1">
      <alignment horizontal="center" vertical="center"/>
    </xf>
    <xf numFmtId="10" fontId="27" fillId="11" borderId="52" xfId="1" applyNumberFormat="1" applyFont="1" applyFill="1" applyBorder="1" applyAlignment="1">
      <alignment horizontal="center" vertical="center"/>
    </xf>
    <xf numFmtId="0" fontId="29" fillId="12" borderId="25" xfId="0" applyFont="1" applyFill="1" applyBorder="1" applyAlignment="1">
      <alignment horizontal="center" vertical="center" wrapText="1"/>
    </xf>
    <xf numFmtId="164" fontId="59" fillId="0" borderId="25" xfId="0" applyNumberFormat="1" applyFont="1" applyBorder="1"/>
    <xf numFmtId="165" fontId="59" fillId="0" borderId="25" xfId="0" applyNumberFormat="1" applyFont="1" applyBorder="1"/>
    <xf numFmtId="44" fontId="59" fillId="17" borderId="25" xfId="0" applyNumberFormat="1" applyFont="1" applyFill="1" applyBorder="1"/>
    <xf numFmtId="0" fontId="0" fillId="17" borderId="53" xfId="0" applyFill="1" applyBorder="1" applyAlignment="1">
      <alignment horizontal="center"/>
    </xf>
    <xf numFmtId="164" fontId="0" fillId="17" borderId="25" xfId="0" applyNumberFormat="1" applyFill="1" applyBorder="1" applyAlignment="1">
      <alignment horizontal="center"/>
    </xf>
    <xf numFmtId="9" fontId="12" fillId="17" borderId="25" xfId="1" applyFill="1" applyBorder="1" applyAlignment="1">
      <alignment horizontal="center"/>
    </xf>
    <xf numFmtId="10" fontId="61" fillId="17" borderId="25" xfId="1" applyNumberFormat="1" applyFont="1" applyFill="1" applyBorder="1" applyAlignment="1">
      <alignment horizontal="center"/>
    </xf>
    <xf numFmtId="44" fontId="0" fillId="0" borderId="0" xfId="0" applyNumberFormat="1"/>
    <xf numFmtId="0" fontId="62" fillId="0" borderId="29" xfId="0" applyFont="1" applyBorder="1" applyAlignment="1">
      <alignment vertical="center"/>
    </xf>
    <xf numFmtId="0" fontId="7" fillId="0" borderId="45" xfId="0" applyFont="1" applyBorder="1" applyAlignment="1">
      <alignment vertical="center" wrapText="1"/>
    </xf>
    <xf numFmtId="0" fontId="7" fillId="0" borderId="14" xfId="0" applyFont="1" applyBorder="1" applyAlignment="1">
      <alignment vertical="center" wrapText="1"/>
    </xf>
    <xf numFmtId="0" fontId="7" fillId="0" borderId="49" xfId="0" applyFont="1" applyBorder="1" applyAlignment="1">
      <alignment vertical="center" wrapText="1"/>
    </xf>
    <xf numFmtId="0" fontId="7" fillId="0" borderId="32" xfId="0" applyFont="1" applyBorder="1" applyAlignment="1">
      <alignment vertical="center" wrapText="1"/>
    </xf>
    <xf numFmtId="0" fontId="7" fillId="0" borderId="46" xfId="0" applyFont="1" applyBorder="1" applyAlignment="1">
      <alignment vertical="center" wrapText="1"/>
    </xf>
    <xf numFmtId="0" fontId="7" fillId="0" borderId="33" xfId="0" applyFont="1" applyBorder="1" applyAlignment="1">
      <alignment vertical="center" wrapText="1"/>
    </xf>
    <xf numFmtId="0" fontId="7" fillId="0" borderId="44" xfId="0" applyFont="1" applyBorder="1" applyAlignment="1">
      <alignment vertical="center" wrapText="1"/>
    </xf>
    <xf numFmtId="0" fontId="7" fillId="0" borderId="29" xfId="0" applyFont="1" applyBorder="1" applyAlignment="1">
      <alignment vertical="center" wrapText="1"/>
    </xf>
    <xf numFmtId="0" fontId="7" fillId="0" borderId="47" xfId="0" applyFont="1" applyBorder="1" applyAlignment="1">
      <alignment vertical="center" wrapText="1"/>
    </xf>
    <xf numFmtId="0" fontId="7" fillId="0" borderId="48" xfId="0" applyFont="1" applyBorder="1" applyAlignment="1">
      <alignment vertical="center" wrapText="1"/>
    </xf>
    <xf numFmtId="0" fontId="25" fillId="13" borderId="46" xfId="0" applyFont="1" applyFill="1" applyBorder="1" applyAlignment="1">
      <alignment horizontal="left" vertical="center"/>
    </xf>
    <xf numFmtId="0" fontId="25" fillId="13" borderId="0" xfId="0" applyFont="1" applyFill="1" applyBorder="1" applyAlignment="1">
      <alignment horizontal="left" vertical="center"/>
    </xf>
    <xf numFmtId="0" fontId="25" fillId="13" borderId="44" xfId="0" applyFont="1" applyFill="1" applyBorder="1" applyAlignment="1">
      <alignment horizontal="left" vertical="center" wrapText="1"/>
    </xf>
    <xf numFmtId="0" fontId="25" fillId="13" borderId="20" xfId="0" applyFont="1" applyFill="1" applyBorder="1" applyAlignment="1">
      <alignment horizontal="left" vertical="center" wrapText="1"/>
    </xf>
    <xf numFmtId="0" fontId="21" fillId="12" borderId="45"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23" fillId="0" borderId="44" xfId="0" applyFont="1" applyBorder="1" applyAlignment="1">
      <alignment horizontal="center" vertical="center" wrapText="1"/>
    </xf>
    <xf numFmtId="0" fontId="23" fillId="0" borderId="20" xfId="0" applyFont="1" applyBorder="1" applyAlignment="1">
      <alignment horizontal="center" vertical="center" wrapText="1"/>
    </xf>
    <xf numFmtId="0" fontId="24" fillId="0" borderId="2" xfId="0" applyFont="1" applyBorder="1" applyAlignment="1">
      <alignment horizontal="left" vertical="center" wrapText="1"/>
    </xf>
    <xf numFmtId="0" fontId="24" fillId="0" borderId="14" xfId="0" applyFont="1" applyBorder="1" applyAlignment="1">
      <alignment horizontal="left" vertical="center" wrapText="1"/>
    </xf>
    <xf numFmtId="0" fontId="6" fillId="9" borderId="5" xfId="0" applyFont="1" applyFill="1" applyBorder="1" applyAlignment="1">
      <alignment horizontal="center" vertical="center"/>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48" fillId="5" borderId="15" xfId="0" applyFont="1" applyFill="1" applyBorder="1" applyAlignment="1">
      <alignment horizontal="left" vertical="center" wrapText="1"/>
    </xf>
    <xf numFmtId="0" fontId="48" fillId="5" borderId="16" xfId="0" applyFont="1" applyFill="1" applyBorder="1" applyAlignment="1">
      <alignment horizontal="left" vertical="center" wrapText="1"/>
    </xf>
    <xf numFmtId="0" fontId="48" fillId="5" borderId="22" xfId="0" applyFont="1" applyFill="1" applyBorder="1" applyAlignment="1">
      <alignment horizontal="left" vertical="center" wrapText="1"/>
    </xf>
    <xf numFmtId="0" fontId="35" fillId="5" borderId="15" xfId="0" applyFont="1" applyFill="1" applyBorder="1" applyAlignment="1">
      <alignment horizontal="left" vertical="center" wrapText="1"/>
    </xf>
    <xf numFmtId="0" fontId="35" fillId="5" borderId="16" xfId="0" applyFont="1" applyFill="1" applyBorder="1" applyAlignment="1">
      <alignment horizontal="left" vertical="center" wrapText="1"/>
    </xf>
    <xf numFmtId="0" fontId="35" fillId="5" borderId="22"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49" fillId="5" borderId="15" xfId="0" applyFont="1" applyFill="1" applyBorder="1" applyAlignment="1">
      <alignment horizontal="left" vertical="center" wrapText="1"/>
    </xf>
    <xf numFmtId="0" fontId="49" fillId="5" borderId="16" xfId="0" applyFont="1" applyFill="1" applyBorder="1" applyAlignment="1">
      <alignment horizontal="left" vertical="center" wrapText="1"/>
    </xf>
    <xf numFmtId="0" fontId="49" fillId="5" borderId="22" xfId="0" applyFont="1" applyFill="1" applyBorder="1" applyAlignment="1">
      <alignment horizontal="left" vertical="center" wrapText="1"/>
    </xf>
    <xf numFmtId="0" fontId="9" fillId="5" borderId="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3" fillId="8" borderId="23" xfId="0" applyFont="1" applyFill="1" applyBorder="1" applyAlignment="1">
      <alignment horizontal="left" vertical="center" wrapText="1"/>
    </xf>
    <xf numFmtId="0" fontId="3" fillId="8" borderId="0" xfId="0" applyFont="1" applyFill="1" applyAlignment="1">
      <alignment horizontal="left" vertical="center" wrapText="1"/>
    </xf>
    <xf numFmtId="0" fontId="1" fillId="0" borderId="0" xfId="0" applyFont="1" applyAlignment="1">
      <alignment horizontal="center"/>
    </xf>
    <xf numFmtId="0" fontId="3" fillId="0" borderId="0" xfId="0" applyFont="1" applyAlignment="1">
      <alignment horizontal="center" vertical="center" wrapText="1"/>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9" fillId="5" borderId="8" xfId="0" applyFont="1" applyFill="1" applyBorder="1" applyAlignment="1">
      <alignment horizontal="center" vertical="center"/>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0"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8" fillId="7" borderId="1" xfId="0" applyFont="1" applyFill="1" applyBorder="1" applyAlignment="1">
      <alignment horizontal="justify" vertical="center" wrapText="1"/>
    </xf>
    <xf numFmtId="0" fontId="8" fillId="7" borderId="2" xfId="0" applyFont="1" applyFill="1" applyBorder="1" applyAlignment="1">
      <alignment horizontal="justify" vertical="center" wrapText="1"/>
    </xf>
    <xf numFmtId="0" fontId="8" fillId="7" borderId="14" xfId="0" applyFont="1" applyFill="1" applyBorder="1" applyAlignment="1">
      <alignment horizontal="justify" vertical="center" wrapText="1"/>
    </xf>
    <xf numFmtId="0" fontId="34" fillId="4" borderId="0" xfId="0" applyFont="1" applyFill="1" applyAlignment="1">
      <alignment horizontal="center" vertical="center" wrapText="1"/>
    </xf>
    <xf numFmtId="0" fontId="34" fillId="4" borderId="19" xfId="0" applyFont="1" applyFill="1" applyBorder="1" applyAlignment="1">
      <alignment horizontal="center" vertical="center" wrapText="1"/>
    </xf>
    <xf numFmtId="0" fontId="34" fillId="9" borderId="5" xfId="0" applyFont="1" applyFill="1" applyBorder="1" applyAlignment="1">
      <alignment horizontal="center" vertical="center"/>
    </xf>
    <xf numFmtId="0" fontId="34" fillId="9" borderId="19"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7" fillId="2" borderId="15" xfId="0" applyFont="1" applyFill="1" applyBorder="1" applyAlignment="1">
      <alignment horizontal="center" vertical="top" wrapText="1"/>
    </xf>
    <xf numFmtId="0" fontId="17" fillId="2" borderId="16" xfId="0" applyFont="1" applyFill="1" applyBorder="1" applyAlignment="1">
      <alignment horizontal="center" vertical="top" wrapText="1"/>
    </xf>
    <xf numFmtId="0" fontId="17" fillId="2" borderId="22" xfId="0" applyFont="1" applyFill="1" applyBorder="1" applyAlignment="1">
      <alignment horizontal="center" vertical="top" wrapText="1"/>
    </xf>
    <xf numFmtId="0" fontId="9" fillId="5" borderId="11" xfId="0" applyFont="1" applyFill="1" applyBorder="1" applyAlignment="1">
      <alignment horizontal="center" vertical="center" wrapText="1"/>
    </xf>
    <xf numFmtId="0" fontId="48" fillId="5"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37" fillId="5" borderId="7" xfId="0" applyFont="1" applyFill="1" applyBorder="1" applyAlignment="1">
      <alignment horizontal="left" vertical="center" wrapText="1"/>
    </xf>
    <xf numFmtId="0" fontId="37" fillId="5" borderId="19" xfId="0" applyFont="1" applyFill="1" applyBorder="1" applyAlignment="1">
      <alignment horizontal="left" vertical="center" wrapText="1"/>
    </xf>
    <xf numFmtId="0" fontId="48" fillId="5" borderId="15" xfId="0" applyFont="1" applyFill="1" applyBorder="1" applyAlignment="1">
      <alignment horizontal="left" vertical="top" wrapText="1"/>
    </xf>
    <xf numFmtId="0" fontId="48" fillId="5" borderId="16" xfId="0" applyFont="1" applyFill="1" applyBorder="1" applyAlignment="1">
      <alignment horizontal="left" vertical="top" wrapText="1"/>
    </xf>
    <xf numFmtId="0" fontId="49" fillId="2" borderId="15" xfId="0" applyFont="1" applyFill="1" applyBorder="1" applyAlignment="1">
      <alignment horizontal="left" vertical="top" wrapText="1"/>
    </xf>
    <xf numFmtId="0" fontId="49" fillId="2" borderId="16" xfId="0" applyFont="1" applyFill="1" applyBorder="1" applyAlignment="1">
      <alignment horizontal="left" vertical="top" wrapText="1"/>
    </xf>
    <xf numFmtId="0" fontId="38" fillId="2" borderId="15" xfId="0" applyFont="1" applyFill="1" applyBorder="1" applyAlignment="1">
      <alignment horizontal="left" vertical="top" wrapText="1"/>
    </xf>
    <xf numFmtId="0" fontId="38" fillId="2" borderId="16" xfId="0" applyFont="1" applyFill="1" applyBorder="1" applyAlignment="1">
      <alignment horizontal="left" vertical="top" wrapText="1"/>
    </xf>
    <xf numFmtId="0" fontId="48" fillId="5" borderId="3"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8" fillId="5" borderId="4" xfId="0" applyFont="1" applyFill="1" applyBorder="1" applyAlignment="1">
      <alignment horizontal="center" vertical="center" wrapText="1"/>
    </xf>
    <xf numFmtId="0" fontId="48" fillId="5" borderId="5" xfId="0" applyFont="1" applyFill="1" applyBorder="1" applyAlignment="1">
      <alignment horizontal="center" vertical="center" wrapText="1"/>
    </xf>
    <xf numFmtId="0" fontId="48" fillId="5" borderId="13" xfId="0" applyFont="1" applyFill="1" applyBorder="1" applyAlignment="1">
      <alignment horizontal="center" vertical="center" wrapText="1"/>
    </xf>
    <xf numFmtId="0" fontId="48" fillId="5" borderId="7" xfId="0" applyFont="1" applyFill="1" applyBorder="1" applyAlignment="1">
      <alignment horizontal="center" vertical="center" wrapText="1"/>
    </xf>
    <xf numFmtId="0" fontId="48" fillId="5" borderId="19" xfId="0" applyFont="1" applyFill="1" applyBorder="1" applyAlignment="1">
      <alignment horizontal="center" vertical="center" wrapText="1"/>
    </xf>
    <xf numFmtId="0" fontId="48" fillId="5" borderId="9"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40" fillId="0" borderId="14" xfId="0" applyFont="1" applyBorder="1" applyAlignment="1">
      <alignment horizontal="left" vertical="center"/>
    </xf>
    <xf numFmtId="0" fontId="41" fillId="6" borderId="1" xfId="0" applyFont="1" applyFill="1" applyBorder="1" applyAlignment="1">
      <alignment horizontal="left" vertical="center"/>
    </xf>
    <xf numFmtId="0" fontId="41" fillId="6" borderId="2" xfId="0" applyFont="1" applyFill="1" applyBorder="1" applyAlignment="1">
      <alignment horizontal="left" vertical="center"/>
    </xf>
    <xf numFmtId="0" fontId="41" fillId="6" borderId="14" xfId="0" applyFont="1" applyFill="1" applyBorder="1" applyAlignment="1">
      <alignment horizontal="left" vertical="center"/>
    </xf>
    <xf numFmtId="0" fontId="37" fillId="5" borderId="3"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 fillId="0" borderId="20"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5" fillId="6" borderId="1" xfId="0" applyFont="1" applyFill="1" applyBorder="1" applyAlignment="1">
      <alignment horizontal="left" vertical="center"/>
    </xf>
    <xf numFmtId="0" fontId="15" fillId="6" borderId="2" xfId="0" applyFont="1" applyFill="1" applyBorder="1" applyAlignment="1">
      <alignment horizontal="left" vertical="center"/>
    </xf>
    <xf numFmtId="0" fontId="14" fillId="6" borderId="17" xfId="0" applyFont="1" applyFill="1" applyBorder="1" applyAlignment="1">
      <alignment horizontal="left"/>
    </xf>
    <xf numFmtId="0" fontId="14" fillId="6" borderId="18" xfId="0" applyFont="1" applyFill="1" applyBorder="1" applyAlignment="1">
      <alignment horizontal="left"/>
    </xf>
    <xf numFmtId="0" fontId="8" fillId="18" borderId="16" xfId="0" applyFont="1" applyFill="1" applyBorder="1" applyAlignment="1">
      <alignment horizontal="center" vertical="center"/>
    </xf>
    <xf numFmtId="0" fontId="6" fillId="4" borderId="19" xfId="0" applyFont="1" applyFill="1" applyBorder="1" applyAlignment="1">
      <alignment horizontal="center" vertical="center" wrapText="1"/>
    </xf>
    <xf numFmtId="0" fontId="0" fillId="17" borderId="41" xfId="0" applyFill="1" applyBorder="1" applyAlignment="1">
      <alignment horizontal="center"/>
    </xf>
    <xf numFmtId="0" fontId="0" fillId="17" borderId="42" xfId="0" applyFill="1" applyBorder="1" applyAlignment="1">
      <alignment horizontal="center"/>
    </xf>
    <xf numFmtId="0" fontId="0" fillId="17" borderId="25" xfId="0" applyFill="1" applyBorder="1" applyAlignment="1">
      <alignment horizontal="center"/>
    </xf>
    <xf numFmtId="0" fontId="27" fillId="17" borderId="1" xfId="0" applyFont="1" applyFill="1" applyBorder="1" applyAlignment="1">
      <alignment horizontal="center" vertical="center"/>
    </xf>
    <xf numFmtId="0" fontId="27" fillId="17" borderId="14" xfId="0" applyFont="1" applyFill="1" applyBorder="1" applyAlignment="1">
      <alignment horizontal="center" vertical="center"/>
    </xf>
    <xf numFmtId="0" fontId="27" fillId="14" borderId="1" xfId="0" applyFont="1" applyFill="1" applyBorder="1" applyAlignment="1">
      <alignment horizontal="center" vertical="center"/>
    </xf>
    <xf numFmtId="0" fontId="27" fillId="14" borderId="35" xfId="0" applyFont="1" applyFill="1" applyBorder="1" applyAlignment="1">
      <alignment horizontal="center" vertical="center"/>
    </xf>
    <xf numFmtId="0" fontId="29" fillId="0" borderId="0" xfId="0" applyFont="1" applyAlignment="1">
      <alignment horizontal="center" vertical="center"/>
    </xf>
    <xf numFmtId="0" fontId="29" fillId="0" borderId="20" xfId="0" applyFont="1" applyBorder="1" applyAlignment="1">
      <alignment horizontal="center" vertical="center"/>
    </xf>
    <xf numFmtId="0" fontId="27" fillId="17" borderId="25" xfId="0" applyFont="1" applyFill="1" applyBorder="1" applyAlignment="1">
      <alignment horizontal="center" vertical="center"/>
    </xf>
    <xf numFmtId="0" fontId="0" fillId="16" borderId="36" xfId="0" applyFill="1" applyBorder="1" applyAlignment="1">
      <alignment horizontal="center"/>
    </xf>
    <xf numFmtId="0" fontId="29" fillId="12" borderId="1" xfId="0" applyFont="1" applyFill="1" applyBorder="1" applyAlignment="1">
      <alignment horizontal="center" vertical="center" wrapText="1"/>
    </xf>
    <xf numFmtId="0" fontId="29" fillId="12" borderId="14" xfId="0" applyFont="1" applyFill="1" applyBorder="1" applyAlignment="1">
      <alignment horizontal="center" vertical="center" wrapText="1"/>
    </xf>
    <xf numFmtId="0" fontId="27" fillId="11" borderId="17" xfId="0" applyFont="1" applyFill="1" applyBorder="1" applyAlignment="1">
      <alignment horizontal="left" vertical="center"/>
    </xf>
    <xf numFmtId="0" fontId="27" fillId="11" borderId="37" xfId="0" applyFont="1" applyFill="1" applyBorder="1" applyAlignment="1">
      <alignment horizontal="left" vertical="center"/>
    </xf>
    <xf numFmtId="0" fontId="27" fillId="11" borderId="39" xfId="0" applyFont="1" applyFill="1" applyBorder="1" applyAlignment="1">
      <alignment horizontal="left" vertical="center"/>
    </xf>
    <xf numFmtId="0" fontId="27" fillId="11" borderId="40" xfId="0" applyFont="1" applyFill="1" applyBorder="1" applyAlignment="1">
      <alignment horizontal="left" vertical="center"/>
    </xf>
    <xf numFmtId="4" fontId="51" fillId="0" borderId="50" xfId="0" applyNumberFormat="1" applyFont="1" applyBorder="1" applyAlignment="1">
      <alignment horizontal="right" vertical="top"/>
    </xf>
    <xf numFmtId="0" fontId="52" fillId="0" borderId="0" xfId="0" applyFont="1" applyAlignment="1">
      <alignment horizontal="center" vertical="top" wrapText="1" readingOrder="1"/>
    </xf>
    <xf numFmtId="0" fontId="51" fillId="0" borderId="50" xfId="0" applyFont="1" applyBorder="1" applyAlignment="1">
      <alignment horizontal="left" vertical="top" wrapText="1" readingOrder="1"/>
    </xf>
    <xf numFmtId="0" fontId="7" fillId="17" borderId="15" xfId="0" applyFont="1" applyFill="1" applyBorder="1" applyAlignment="1">
      <alignment horizontal="left" vertical="top" wrapText="1"/>
    </xf>
    <xf numFmtId="0" fontId="7" fillId="17" borderId="16" xfId="0" applyFont="1" applyFill="1" applyBorder="1" applyAlignment="1">
      <alignment horizontal="left" vertical="top" wrapText="1"/>
    </xf>
    <xf numFmtId="0" fontId="7" fillId="17" borderId="22" xfId="0" applyFont="1" applyFill="1" applyBorder="1" applyAlignment="1">
      <alignment horizontal="left" vertical="top" wrapText="1"/>
    </xf>
    <xf numFmtId="0" fontId="7" fillId="12" borderId="4" xfId="0" applyFont="1" applyFill="1" applyBorder="1" applyAlignment="1">
      <alignment horizontal="center" vertical="top" wrapText="1"/>
    </xf>
    <xf numFmtId="0" fontId="7" fillId="12" borderId="13" xfId="0" applyFont="1" applyFill="1" applyBorder="1" applyAlignment="1">
      <alignment horizontal="center" vertical="top" wrapText="1"/>
    </xf>
  </cellXfs>
  <cellStyles count="12">
    <cellStyle name="Millares" xfId="3" builtinId="3"/>
    <cellStyle name="Millares [0] 2" xfId="4" xr:uid="{2FD56FEF-1BE3-4AEF-A615-CCEB5498EDA7}"/>
    <cellStyle name="Millares [0] 3" xfId="6" xr:uid="{6B56AB01-8549-4118-A2B0-1378ED22A9BC}"/>
    <cellStyle name="Moneda" xfId="2" builtinId="4"/>
    <cellStyle name="Moneda 2" xfId="11" xr:uid="{8AC5E459-2369-4DD7-B2FB-340A74F2B96E}"/>
    <cellStyle name="Normal" xfId="0" builtinId="0"/>
    <cellStyle name="Normal 2" xfId="5" xr:uid="{CD3947BE-37B5-4FCC-A13D-B2701AB688DA}"/>
    <cellStyle name="Normal 2 2" xfId="9" xr:uid="{011959C2-CDAD-4BEF-BDD4-1981A7187124}"/>
    <cellStyle name="Normal 4" xfId="8" xr:uid="{872B27D1-1E51-48F9-A2A1-57B78427C831}"/>
    <cellStyle name="Normal 5" xfId="10" xr:uid="{504BBE9D-2482-445A-A496-2151C1F085C1}"/>
    <cellStyle name="Normal 6 2" xfId="7" xr:uid="{B8176A1F-185B-4642-A779-7E3530A2AFED}"/>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sz="1300" b="1"/>
              <a:t>       </a:t>
            </a:r>
            <a:r>
              <a:rPr lang="es-CR" sz="1300" b="1" baseline="0"/>
              <a:t>  </a:t>
            </a:r>
            <a:r>
              <a:rPr lang="es-CR" sz="1300" b="1"/>
              <a:t>Gráfico N°</a:t>
            </a:r>
            <a:r>
              <a:rPr lang="es-CR" sz="1300" b="1" baseline="0"/>
              <a:t> 2</a:t>
            </a:r>
            <a:r>
              <a:rPr lang="es-CR" sz="1300" b="1"/>
              <a:t>                                                                                                            </a:t>
            </a:r>
            <a:r>
              <a:rPr lang="es-CR" sz="1300" b="1" i="0" u="none" strike="noStrike" kern="1200" spc="0" baseline="0">
                <a:solidFill>
                  <a:sysClr val="windowText" lastClr="000000">
                    <a:lumMod val="65000"/>
                    <a:lumOff val="35000"/>
                  </a:sysClr>
                </a:solidFill>
                <a:latin typeface="+mn-lt"/>
                <a:ea typeface="+mn-ea"/>
                <a:cs typeface="+mn-cs"/>
              </a:rPr>
              <a:t>Resumen Presupuestario</a:t>
            </a:r>
          </a:p>
          <a:p>
            <a:pPr>
              <a:defRPr/>
            </a:pPr>
            <a:r>
              <a:rPr lang="es-CR" sz="1300" b="1" i="0" u="none" strike="noStrike" kern="1200" spc="0" baseline="0">
                <a:solidFill>
                  <a:sysClr val="windowText" lastClr="000000">
                    <a:lumMod val="65000"/>
                    <a:lumOff val="35000"/>
                  </a:sysClr>
                </a:solidFill>
                <a:latin typeface="+mn-lt"/>
                <a:ea typeface="+mn-ea"/>
                <a:cs typeface="+mn-cs"/>
              </a:rPr>
              <a:t> Programa I Presupuesto Ordinario -IFAM 2020</a:t>
            </a:r>
          </a:p>
        </c:rich>
      </c:tx>
      <c:layout>
        <c:manualLayout>
          <c:xMode val="edge"/>
          <c:yMode val="edge"/>
          <c:x val="0.20225611693676521"/>
          <c:y val="2.8957528957528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manualLayout>
          <c:layoutTarget val="inner"/>
          <c:xMode val="edge"/>
          <c:yMode val="edge"/>
          <c:x val="0.145921355867102"/>
          <c:y val="0.27345942192898526"/>
          <c:w val="0.40845768516740294"/>
          <c:h val="0.7265405780710148"/>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AFB3-48D9-B4F6-4F4631D2677E}"/>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AFB3-48D9-B4F6-4F4631D2677E}"/>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AFB3-48D9-B4F6-4F4631D2677E}"/>
              </c:ext>
            </c:extLst>
          </c:dPt>
          <c:dPt>
            <c:idx val="3"/>
            <c:bubble3D val="0"/>
            <c:spPr>
              <a:solidFill>
                <a:schemeClr val="accent4">
                  <a:lumMod val="60000"/>
                  <a:lumOff val="40000"/>
                </a:schemeClr>
              </a:solidFill>
              <a:ln w="19050">
                <a:solidFill>
                  <a:schemeClr val="accent4">
                    <a:lumMod val="60000"/>
                    <a:lumOff val="40000"/>
                    <a:alpha val="99000"/>
                  </a:schemeClr>
                </a:solidFill>
              </a:ln>
              <a:effectLst/>
            </c:spPr>
            <c:extLst>
              <c:ext xmlns:c16="http://schemas.microsoft.com/office/drawing/2014/chart" uri="{C3380CC4-5D6E-409C-BE32-E72D297353CC}">
                <c16:uniqueId val="{00000007-AFB3-48D9-B4F6-4F4631D2677E}"/>
              </c:ext>
            </c:extLst>
          </c:dPt>
          <c:dPt>
            <c:idx val="4"/>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9-AFB3-48D9-B4F6-4F4631D2677E}"/>
              </c:ext>
            </c:extLst>
          </c:dPt>
          <c:dPt>
            <c:idx val="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B-AFB3-48D9-B4F6-4F4631D2677E}"/>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AFB3-48D9-B4F6-4F4631D2677E}"/>
              </c:ext>
            </c:extLst>
          </c:dPt>
          <c:dPt>
            <c:idx val="7"/>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F-AFB3-48D9-B4F6-4F4631D2677E}"/>
              </c:ext>
            </c:extLst>
          </c:dPt>
          <c:dPt>
            <c:idx val="8"/>
            <c:bubble3D val="0"/>
            <c:spPr>
              <a:solidFill>
                <a:srgbClr val="92D050"/>
              </a:solidFill>
              <a:ln w="19050">
                <a:solidFill>
                  <a:schemeClr val="lt1"/>
                </a:solidFill>
              </a:ln>
              <a:effectLst/>
            </c:spPr>
            <c:extLst>
              <c:ext xmlns:c16="http://schemas.microsoft.com/office/drawing/2014/chart" uri="{C3380CC4-5D6E-409C-BE32-E72D297353CC}">
                <c16:uniqueId val="{00000011-AFB3-48D9-B4F6-4F4631D2677E}"/>
              </c:ext>
            </c:extLst>
          </c:dPt>
          <c:dPt>
            <c:idx val="9"/>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3-AFB3-48D9-B4F6-4F4631D2677E}"/>
              </c:ext>
            </c:extLst>
          </c:dPt>
          <c:dLbls>
            <c:dLbl>
              <c:idx val="0"/>
              <c:layout>
                <c:manualLayout>
                  <c:x val="-6.5040650406504072E-2"/>
                  <c:y val="-0.122921150835752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B3-48D9-B4F6-4F4631D2677E}"/>
                </c:ext>
              </c:extLst>
            </c:dLbl>
            <c:dLbl>
              <c:idx val="1"/>
              <c:layout>
                <c:manualLayout>
                  <c:x val="1.8292682926829267E-2"/>
                  <c:y val="-0.140997790664540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B3-48D9-B4F6-4F4631D2677E}"/>
                </c:ext>
              </c:extLst>
            </c:dLbl>
            <c:dLbl>
              <c:idx val="2"/>
              <c:layout>
                <c:manualLayout>
                  <c:x val="7.7235772357723581E-2"/>
                  <c:y val="-0.133767134733025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B3-48D9-B4F6-4F4631D2677E}"/>
                </c:ext>
              </c:extLst>
            </c:dLbl>
            <c:dLbl>
              <c:idx val="3"/>
              <c:layout>
                <c:manualLayout>
                  <c:x val="6.910569105691057E-2"/>
                  <c:y val="-8.676787117817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B3-48D9-B4F6-4F4631D2677E}"/>
                </c:ext>
              </c:extLst>
            </c:dLbl>
            <c:dLbl>
              <c:idx val="4"/>
              <c:layout>
                <c:manualLayout>
                  <c:x val="8.130081300813001E-2"/>
                  <c:y val="-5.784524745211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B3-48D9-B4F6-4F4631D2677E}"/>
                </c:ext>
              </c:extLst>
            </c:dLbl>
            <c:dLbl>
              <c:idx val="5"/>
              <c:layout>
                <c:manualLayout>
                  <c:x val="8.7398373983739841E-2"/>
                  <c:y val="-3.2537951691816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B3-48D9-B4F6-4F4631D2677E}"/>
                </c:ext>
              </c:extLst>
            </c:dLbl>
            <c:dLbl>
              <c:idx val="6"/>
              <c:layout>
                <c:manualLayout>
                  <c:x val="0.10772357723577228"/>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3-48D9-B4F6-4F4631D2677E}"/>
                </c:ext>
              </c:extLst>
            </c:dLbl>
            <c:dLbl>
              <c:idx val="7"/>
              <c:layout>
                <c:manualLayout>
                  <c:x val="0.14256177581460855"/>
                  <c:y val="2.574028110171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FB3-48D9-B4F6-4F4631D2677E}"/>
                </c:ext>
              </c:extLst>
            </c:dLbl>
            <c:dLbl>
              <c:idx val="8"/>
              <c:layout>
                <c:manualLayout>
                  <c:x val="-0.12202131745726907"/>
                  <c:y val="-0.224875961513552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FB3-48D9-B4F6-4F4631D267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0"/>
            <c:showCatName val="0"/>
            <c:showSerName val="0"/>
            <c:showPercent val="0"/>
            <c:showBubbleSize val="0"/>
            <c:extLst>
              <c:ext xmlns:c15="http://schemas.microsoft.com/office/drawing/2012/chart" uri="{CE6537A1-D6FC-4f65-9D91-7224C49458BB}"/>
            </c:extLst>
          </c:dLbls>
          <c:cat>
            <c:strRef>
              <c:f>'RESUMEN PRESUPUESTO'!$B$24:$B$33</c:f>
              <c:strCache>
                <c:ptCount val="10"/>
                <c:pt idx="0">
                  <c:v>JUNTA DIRECTIVA</c:v>
                </c:pt>
                <c:pt idx="1">
                  <c:v>AUDITORÍA INTERNA </c:v>
                </c:pt>
                <c:pt idx="2">
                  <c:v>CONTRALORÍA DE SERVICIOS </c:v>
                </c:pt>
                <c:pt idx="3">
                  <c:v>PRESIDENCIA EJECUTIVA </c:v>
                </c:pt>
                <c:pt idx="4">
                  <c:v>ASESORÍA JURÍDICA </c:v>
                </c:pt>
                <c:pt idx="5">
                  <c:v>PLANIFICACIÓN INSTITUCIONAL </c:v>
                </c:pt>
                <c:pt idx="6">
                  <c:v>DIRECCIÓN EJECUTIVA </c:v>
                </c:pt>
                <c:pt idx="7">
                  <c:v>ADMINISTRACIÓN HACENDARIA </c:v>
                </c:pt>
                <c:pt idx="8">
                  <c:v>DEPARTAMENTO ADMINISTRATIVO </c:v>
                </c:pt>
                <c:pt idx="9">
                  <c:v>ADQUISICIÓN DE BIENES</c:v>
                </c:pt>
              </c:strCache>
            </c:strRef>
          </c:cat>
          <c:val>
            <c:numRef>
              <c:f>'RESUMEN PRESUPUESTO'!$E$24:$E$33</c:f>
              <c:numCache>
                <c:formatCode>0.00%</c:formatCode>
                <c:ptCount val="10"/>
                <c:pt idx="0">
                  <c:v>9.6640333464839256E-3</c:v>
                </c:pt>
                <c:pt idx="1">
                  <c:v>2.3717690049936773E-2</c:v>
                </c:pt>
                <c:pt idx="2">
                  <c:v>3.3826283410779792E-3</c:v>
                </c:pt>
                <c:pt idx="3">
                  <c:v>5.8722485499809803E-2</c:v>
                </c:pt>
                <c:pt idx="4">
                  <c:v>2.8262858631458325E-2</c:v>
                </c:pt>
                <c:pt idx="5">
                  <c:v>1.5663236734150744E-2</c:v>
                </c:pt>
                <c:pt idx="6">
                  <c:v>2.1106202826809955E-2</c:v>
                </c:pt>
                <c:pt idx="7">
                  <c:v>0.62793890761071214</c:v>
                </c:pt>
                <c:pt idx="8">
                  <c:v>0.21001106679282971</c:v>
                </c:pt>
                <c:pt idx="9">
                  <c:v>1.530890166730543E-3</c:v>
                </c:pt>
              </c:numCache>
            </c:numRef>
          </c:val>
          <c:extLst>
            <c:ext xmlns:c16="http://schemas.microsoft.com/office/drawing/2014/chart" uri="{C3380CC4-5D6E-409C-BE32-E72D297353CC}">
              <c16:uniqueId val="{00000014-AFB3-48D9-B4F6-4F4631D2677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69896188796657199"/>
          <c:y val="0.23357694570830681"/>
          <c:w val="0.30103818577555852"/>
          <c:h val="0.66883738169408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sz="1300"/>
              <a:t>Gráfico N°4                                                                                                             Resumen Presupuestario                                                                          Programa II Presupuesto Ordinario 2020-</a:t>
            </a:r>
          </a:p>
        </c:rich>
      </c:tx>
      <c:layout>
        <c:manualLayout>
          <c:xMode val="edge"/>
          <c:yMode val="edge"/>
          <c:x val="0.24064563101159131"/>
          <c:y val="1.1484312368903679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manualLayout>
          <c:layoutTarget val="inner"/>
          <c:xMode val="edge"/>
          <c:yMode val="edge"/>
          <c:x val="8.8958865989204494E-2"/>
          <c:y val="0.24847461535927254"/>
          <c:w val="0.40227035675330364"/>
          <c:h val="0.69429518224447884"/>
        </c:manualLayout>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c:spPr>
            <c:extLst>
              <c:ext xmlns:c16="http://schemas.microsoft.com/office/drawing/2014/chart" uri="{C3380CC4-5D6E-409C-BE32-E72D297353CC}">
                <c16:uniqueId val="{00000001-CA14-4377-9E4F-0C276BE7A413}"/>
              </c:ext>
            </c:extLst>
          </c:dPt>
          <c:dPt>
            <c:idx val="1"/>
            <c:bubble3D val="0"/>
            <c:spPr>
              <a:solidFill>
                <a:schemeClr val="accent2">
                  <a:lumMod val="60000"/>
                  <a:lumOff val="40000"/>
                </a:schemeClr>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c:spPr>
            <c:extLst>
              <c:ext xmlns:c16="http://schemas.microsoft.com/office/drawing/2014/chart" uri="{C3380CC4-5D6E-409C-BE32-E72D297353CC}">
                <c16:uniqueId val="{00000003-CA14-4377-9E4F-0C276BE7A41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c:spPr>
            <c:extLst>
              <c:ext xmlns:c16="http://schemas.microsoft.com/office/drawing/2014/chart" uri="{C3380CC4-5D6E-409C-BE32-E72D297353CC}">
                <c16:uniqueId val="{00000005-CA14-4377-9E4F-0C276BE7A413}"/>
              </c:ext>
            </c:extLst>
          </c:dPt>
          <c:dPt>
            <c:idx val="3"/>
            <c:bubble3D val="0"/>
            <c:spPr>
              <a:solidFill>
                <a:schemeClr val="accent4">
                  <a:lumMod val="60000"/>
                  <a:lumOff val="40000"/>
                </a:schemeClr>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c:spPr>
            <c:extLst>
              <c:ext xmlns:c16="http://schemas.microsoft.com/office/drawing/2014/chart" uri="{C3380CC4-5D6E-409C-BE32-E72D297353CC}">
                <c16:uniqueId val="{00000007-CA14-4377-9E4F-0C276BE7A413}"/>
              </c:ext>
            </c:extLst>
          </c:dPt>
          <c:dPt>
            <c:idx val="4"/>
            <c:bubble3D val="0"/>
            <c:spPr>
              <a:solidFill>
                <a:schemeClr val="accent5">
                  <a:lumMod val="60000"/>
                  <a:lumOff val="40000"/>
                </a:schemeClr>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c:spPr>
            <c:extLst>
              <c:ext xmlns:c16="http://schemas.microsoft.com/office/drawing/2014/chart" uri="{C3380CC4-5D6E-409C-BE32-E72D297353CC}">
                <c16:uniqueId val="{00000009-CA14-4377-9E4F-0C276BE7A41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c:spPr>
            <c:extLst>
              <c:ext xmlns:c16="http://schemas.microsoft.com/office/drawing/2014/chart" uri="{C3380CC4-5D6E-409C-BE32-E72D297353CC}">
                <c16:uniqueId val="{0000000B-CA14-4377-9E4F-0C276BE7A413}"/>
              </c:ext>
            </c:extLst>
          </c:dPt>
          <c:dLbls>
            <c:dLbl>
              <c:idx val="0"/>
              <c:layout>
                <c:manualLayout>
                  <c:x val="-3.303459269313725E-2"/>
                  <c:y val="-0.10339101130877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14-4377-9E4F-0C276BE7A413}"/>
                </c:ext>
              </c:extLst>
            </c:dLbl>
            <c:dLbl>
              <c:idx val="1"/>
              <c:layout>
                <c:manualLayout>
                  <c:x val="7.0209167229910496E-2"/>
                  <c:y val="-0.123514699260918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14-4377-9E4F-0C276BE7A413}"/>
                </c:ext>
              </c:extLst>
            </c:dLbl>
            <c:dLbl>
              <c:idx val="2"/>
              <c:layout>
                <c:manualLayout>
                  <c:x val="0.16825019195892915"/>
                  <c:y val="-0.48217007654377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14-4377-9E4F-0C276BE7A413}"/>
                </c:ext>
              </c:extLst>
            </c:dLbl>
            <c:dLbl>
              <c:idx val="3"/>
              <c:layout>
                <c:manualLayout>
                  <c:x val="-9.9802417911012825E-2"/>
                  <c:y val="-0.118514644351464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14-4377-9E4F-0C276BE7A413}"/>
                </c:ext>
              </c:extLst>
            </c:dLbl>
            <c:dLbl>
              <c:idx val="4"/>
              <c:layout>
                <c:manualLayout>
                  <c:x val="-7.9209881617771177E-2"/>
                  <c:y val="-0.11315630525263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14-4377-9E4F-0C276BE7A413}"/>
                </c:ext>
              </c:extLst>
            </c:dLbl>
            <c:dLbl>
              <c:idx val="5"/>
              <c:layout>
                <c:manualLayout>
                  <c:x val="-3.613395803926946E-3"/>
                  <c:y val="-1.273869551960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A14-4377-9E4F-0C276BE7A4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 PRESUPUESTO'!$B$44:$B$49</c:f>
              <c:strCache>
                <c:ptCount val="5"/>
                <c:pt idx="0">
                  <c:v>DEPARTAMENTO GESTIÓN DE FORTALECIMIENTO INSTITUCIONAL</c:v>
                </c:pt>
                <c:pt idx="1">
                  <c:v>INNOVACIÓN Y DESARROLLO </c:v>
                </c:pt>
                <c:pt idx="2">
                  <c:v>GESTIÓN SERVICIOS TÉCNICOS Y FINANCIAMIENTO </c:v>
                </c:pt>
                <c:pt idx="3">
                  <c:v>CAPACITACIÓN Y FORMACIÓN </c:v>
                </c:pt>
                <c:pt idx="4">
                  <c:v>TECNOLOGÍAS DE INFORMACIÓN </c:v>
                </c:pt>
              </c:strCache>
            </c:strRef>
          </c:cat>
          <c:val>
            <c:numRef>
              <c:f>'RESUMEN PRESUPUESTO'!$E$44:$E$49</c:f>
              <c:numCache>
                <c:formatCode>0.00%</c:formatCode>
                <c:ptCount val="6"/>
                <c:pt idx="0">
                  <c:v>1.3254529640995263E-2</c:v>
                </c:pt>
                <c:pt idx="1">
                  <c:v>1.4803147612846589E-2</c:v>
                </c:pt>
                <c:pt idx="2">
                  <c:v>0.78786814697817587</c:v>
                </c:pt>
                <c:pt idx="3">
                  <c:v>7.749266670397037E-2</c:v>
                </c:pt>
                <c:pt idx="4">
                  <c:v>0.10658150906401199</c:v>
                </c:pt>
              </c:numCache>
            </c:numRef>
          </c:val>
          <c:extLst>
            <c:ext xmlns:c16="http://schemas.microsoft.com/office/drawing/2014/chart" uri="{C3380CC4-5D6E-409C-BE32-E72D297353CC}">
              <c16:uniqueId val="{0000000C-CA14-4377-9E4F-0C276BE7A41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egendEntry>
        <c:idx val="5"/>
        <c:delete val="1"/>
      </c:legendEntry>
      <c:layout>
        <c:manualLayout>
          <c:xMode val="edge"/>
          <c:yMode val="edge"/>
          <c:x val="0.67057795743610016"/>
          <c:y val="0.23014748679427624"/>
          <c:w val="0.27176023673582489"/>
          <c:h val="0.630368771895144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R" sz="1300" b="1" i="0" baseline="0">
                <a:effectLst/>
              </a:rPr>
              <a:t>Gráfico N° 1                                                                                                          Resumen Presupuestario Por Programa                                                            Presupuesto Ordinario 2020</a:t>
            </a:r>
            <a:endParaRPr lang="es-CR" sz="13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17885443745368"/>
          <c:y val="0.29473407100091004"/>
          <c:w val="0.62803384026757425"/>
          <c:h val="0.53765017919380964"/>
        </c:manualLayout>
      </c:layout>
      <c:bar3DChart>
        <c:barDir val="bar"/>
        <c:grouping val="percentStacked"/>
        <c:varyColors val="0"/>
        <c:ser>
          <c:idx val="0"/>
          <c:order val="0"/>
          <c:tx>
            <c:strRef>
              <c:f>'RESUMEN PRESUPUESTO'!$A$56</c:f>
              <c:strCache>
                <c:ptCount val="1"/>
                <c:pt idx="0">
                  <c:v> PROGRAMA I ADMINISTRACIÓN GENERAL</c:v>
                </c:pt>
              </c:strCache>
            </c:strRef>
          </c:tx>
          <c:spPr>
            <a:solidFill>
              <a:schemeClr val="accent1"/>
            </a:solidFill>
            <a:ln>
              <a:noFill/>
            </a:ln>
            <a:effectLst/>
            <a:sp3d/>
          </c:spPr>
          <c:invertIfNegative val="0"/>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PRESUPUESTO'!$B$55,'RESUMEN PRESUPUESTO'!$D$55)</c:f>
              <c:strCache>
                <c:ptCount val="2"/>
                <c:pt idx="1">
                  <c:v>MONTO                   (en miles de millones)</c:v>
                </c:pt>
              </c:strCache>
            </c:strRef>
          </c:cat>
          <c:val>
            <c:numRef>
              <c:f>('RESUMEN PRESUPUESTO'!$B$56,'RESUMEN PRESUPUESTO'!$D$56)</c:f>
              <c:numCache>
                <c:formatCode>"₡"#,##0.00_);[Red]\("₡"#,##0.00\)</c:formatCode>
                <c:ptCount val="2"/>
                <c:pt idx="1">
                  <c:v>6499486518.5200005</c:v>
                </c:pt>
              </c:numCache>
            </c:numRef>
          </c:val>
          <c:extLst>
            <c:ext xmlns:c16="http://schemas.microsoft.com/office/drawing/2014/chart" uri="{C3380CC4-5D6E-409C-BE32-E72D297353CC}">
              <c16:uniqueId val="{00000000-5AAA-4C8F-BAEA-6DA645605422}"/>
            </c:ext>
          </c:extLst>
        </c:ser>
        <c:ser>
          <c:idx val="1"/>
          <c:order val="1"/>
          <c:tx>
            <c:strRef>
              <c:f>'RESUMEN PRESUPUESTO'!$A$57</c:f>
              <c:strCache>
                <c:ptCount val="1"/>
                <c:pt idx="0">
                  <c:v> PROGRAMA II GESTIÓN DE FORTALECIMIENTO MUNICIPAL</c:v>
                </c:pt>
              </c:strCache>
            </c:strRef>
          </c:tx>
          <c:spPr>
            <a:solidFill>
              <a:schemeClr val="accent2"/>
            </a:solidFill>
            <a:ln>
              <a:noFill/>
            </a:ln>
            <a:effectLst/>
            <a:sp3d/>
          </c:spPr>
          <c:invertIfNegative val="0"/>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PRESUPUESTO'!$B$55,'RESUMEN PRESUPUESTO'!$D$55)</c:f>
              <c:strCache>
                <c:ptCount val="2"/>
                <c:pt idx="1">
                  <c:v>MONTO                   (en miles de millones)</c:v>
                </c:pt>
              </c:strCache>
            </c:strRef>
          </c:cat>
          <c:val>
            <c:numRef>
              <c:f>('RESUMEN PRESUPUESTO'!$B$57,'RESUMEN PRESUPUESTO'!$D$57)</c:f>
              <c:numCache>
                <c:formatCode>"₡"#,##0.00_);[Red]\("₡"#,##0.00\)</c:formatCode>
                <c:ptCount val="2"/>
                <c:pt idx="1">
                  <c:v>11523353131.867998</c:v>
                </c:pt>
              </c:numCache>
            </c:numRef>
          </c:val>
          <c:extLst>
            <c:ext xmlns:c16="http://schemas.microsoft.com/office/drawing/2014/chart" uri="{C3380CC4-5D6E-409C-BE32-E72D297353CC}">
              <c16:uniqueId val="{00000001-5AAA-4C8F-BAEA-6DA645605422}"/>
            </c:ext>
          </c:extLst>
        </c:ser>
        <c:dLbls>
          <c:showLegendKey val="0"/>
          <c:showVal val="0"/>
          <c:showCatName val="0"/>
          <c:showSerName val="0"/>
          <c:showPercent val="0"/>
          <c:showBubbleSize val="0"/>
        </c:dLbls>
        <c:gapWidth val="150"/>
        <c:shape val="box"/>
        <c:axId val="465657455"/>
        <c:axId val="323180319"/>
        <c:axId val="0"/>
      </c:bar3DChart>
      <c:catAx>
        <c:axId val="465657455"/>
        <c:scaling>
          <c:orientation val="minMax"/>
        </c:scaling>
        <c:delete val="0"/>
        <c:axPos val="l"/>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23180319"/>
        <c:crosses val="autoZero"/>
        <c:auto val="1"/>
        <c:lblAlgn val="ctr"/>
        <c:lblOffset val="100"/>
        <c:noMultiLvlLbl val="0"/>
      </c:catAx>
      <c:valAx>
        <c:axId val="32318031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65657455"/>
        <c:crosses val="autoZero"/>
        <c:crossBetween val="between"/>
      </c:valAx>
      <c:spPr>
        <a:noFill/>
        <a:ln>
          <a:noFill/>
        </a:ln>
        <a:effectLst/>
      </c:spPr>
    </c:plotArea>
    <c:legend>
      <c:legendPos val="b"/>
      <c:layout>
        <c:manualLayout>
          <c:xMode val="edge"/>
          <c:yMode val="edge"/>
          <c:x val="0.7836523544604771"/>
          <c:y val="0.36380138949323582"/>
          <c:w val="0.18973941654422383"/>
          <c:h val="0.447021739012115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R" sz="1300" b="1" i="0" baseline="0">
                <a:effectLst/>
              </a:rPr>
              <a:t>Gráfico N° 3                                                                                                         Cantidad de Metas                                                                                            Programa I Presupuesto Ordina</a:t>
            </a:r>
            <a:endParaRPr lang="es-CR" sz="1300">
              <a:effectLst/>
            </a:endParaRPr>
          </a:p>
        </c:rich>
      </c:tx>
      <c:layout>
        <c:manualLayout>
          <c:xMode val="edge"/>
          <c:yMode val="edge"/>
          <c:x val="0.26682404705756962"/>
          <c:y val="5.3033732790352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manualLayout>
          <c:layoutTarget val="inner"/>
          <c:xMode val="edge"/>
          <c:yMode val="edge"/>
          <c:x val="0.31727797261077934"/>
          <c:y val="0.28825471289672749"/>
          <c:w val="0.64918567332539867"/>
          <c:h val="0.64683233806960327"/>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PRESUPUESTO'!$B$24:$B$33</c:f>
              <c:strCache>
                <c:ptCount val="10"/>
                <c:pt idx="0">
                  <c:v>JUNTA DIRECTIVA</c:v>
                </c:pt>
                <c:pt idx="1">
                  <c:v>AUDITORÍA INTERNA </c:v>
                </c:pt>
                <c:pt idx="2">
                  <c:v>CONTRALORÍA DE SERVICIOS </c:v>
                </c:pt>
                <c:pt idx="3">
                  <c:v>PRESIDENCIA EJECUTIVA </c:v>
                </c:pt>
                <c:pt idx="4">
                  <c:v>ASESORÍA JURÍDICA </c:v>
                </c:pt>
                <c:pt idx="5">
                  <c:v>PLANIFICACIÓN INSTITUCIONAL </c:v>
                </c:pt>
                <c:pt idx="6">
                  <c:v>DIRECCIÓN EJECUTIVA </c:v>
                </c:pt>
                <c:pt idx="7">
                  <c:v>ADMINISTRACIÓN HACENDARIA </c:v>
                </c:pt>
                <c:pt idx="8">
                  <c:v>DEPARTAMENTO ADMINISTRATIVO </c:v>
                </c:pt>
                <c:pt idx="9">
                  <c:v>ADQUISICIÓN DE BIENES</c:v>
                </c:pt>
              </c:strCache>
            </c:strRef>
          </c:cat>
          <c:val>
            <c:numRef>
              <c:f>'RESUMEN PRESUPUESTO'!$C$24:$C$33</c:f>
              <c:numCache>
                <c:formatCode>General</c:formatCode>
                <c:ptCount val="10"/>
                <c:pt idx="0">
                  <c:v>1</c:v>
                </c:pt>
                <c:pt idx="1">
                  <c:v>1</c:v>
                </c:pt>
                <c:pt idx="2">
                  <c:v>1</c:v>
                </c:pt>
                <c:pt idx="3">
                  <c:v>3</c:v>
                </c:pt>
                <c:pt idx="4">
                  <c:v>2</c:v>
                </c:pt>
                <c:pt idx="5">
                  <c:v>1</c:v>
                </c:pt>
                <c:pt idx="6">
                  <c:v>2</c:v>
                </c:pt>
                <c:pt idx="7">
                  <c:v>2</c:v>
                </c:pt>
                <c:pt idx="8">
                  <c:v>9</c:v>
                </c:pt>
                <c:pt idx="9">
                  <c:v>1</c:v>
                </c:pt>
              </c:numCache>
            </c:numRef>
          </c:val>
          <c:extLst>
            <c:ext xmlns:c16="http://schemas.microsoft.com/office/drawing/2014/chart" uri="{C3380CC4-5D6E-409C-BE32-E72D297353CC}">
              <c16:uniqueId val="{00000000-E12D-4E73-B87F-FDF0BF031A31}"/>
            </c:ext>
          </c:extLst>
        </c:ser>
        <c:dLbls>
          <c:showLegendKey val="0"/>
          <c:showVal val="0"/>
          <c:showCatName val="0"/>
          <c:showSerName val="0"/>
          <c:showPercent val="0"/>
          <c:showBubbleSize val="0"/>
        </c:dLbls>
        <c:gapWidth val="182"/>
        <c:axId val="330808703"/>
        <c:axId val="522214351"/>
      </c:barChart>
      <c:catAx>
        <c:axId val="3308087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2214351"/>
        <c:crosses val="autoZero"/>
        <c:auto val="1"/>
        <c:lblAlgn val="ctr"/>
        <c:lblOffset val="100"/>
        <c:noMultiLvlLbl val="0"/>
      </c:catAx>
      <c:valAx>
        <c:axId val="5222143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308087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R" sz="1300" b="1" i="0" baseline="0">
                <a:effectLst/>
              </a:rPr>
              <a:t>Gráfico N°5                                                                                                         Cantidad de Metas                                                                             Programa II Presupuesto Ordinario 2020-IFAM </a:t>
            </a:r>
            <a:endParaRPr lang="es-CR" sz="13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R"/>
          </a:p>
        </c:rich>
      </c:tx>
      <c:layout>
        <c:manualLayout>
          <c:xMode val="edge"/>
          <c:yMode val="edge"/>
          <c:x val="0.13801759068418981"/>
          <c:y val="1.836968779727193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manualLayout>
          <c:layoutTarget val="inner"/>
          <c:xMode val="edge"/>
          <c:yMode val="edge"/>
          <c:x val="0.42436632437697863"/>
          <c:y val="0.27854760838328524"/>
          <c:w val="0.53757965338095626"/>
          <c:h val="0.65539098816561114"/>
        </c:manualLayout>
      </c:layout>
      <c:barChart>
        <c:barDir val="bar"/>
        <c:grouping val="clustered"/>
        <c:varyColors val="0"/>
        <c:ser>
          <c:idx val="0"/>
          <c:order val="0"/>
          <c:spPr>
            <a:solidFill>
              <a:schemeClr val="accent1"/>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F6-4396-9D14-EDDCD1919B6D}"/>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F6-4396-9D14-EDDCD1919B6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F6-4396-9D14-EDDCD1919B6D}"/>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F6-4396-9D14-EDDCD1919B6D}"/>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F6-4396-9D14-EDDCD1919B6D}"/>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F6-4396-9D14-EDDCD1919B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PRESUPUESTO'!$B$44:$B$49</c:f>
              <c:strCache>
                <c:ptCount val="5"/>
                <c:pt idx="0">
                  <c:v>DEPARTAMENTO GESTIÓN DE FORTALECIMIENTO INSTITUCIONAL</c:v>
                </c:pt>
                <c:pt idx="1">
                  <c:v>INNOVACIÓN Y DESARROLLO </c:v>
                </c:pt>
                <c:pt idx="2">
                  <c:v>GESTIÓN SERVICIOS TÉCNICOS Y FINANCIAMIENTO </c:v>
                </c:pt>
                <c:pt idx="3">
                  <c:v>CAPACITACIÓN Y FORMACIÓN </c:v>
                </c:pt>
                <c:pt idx="4">
                  <c:v>TECNOLOGÍAS DE INFORMACIÓN </c:v>
                </c:pt>
              </c:strCache>
            </c:strRef>
          </c:cat>
          <c:val>
            <c:numRef>
              <c:f>'RESUMEN PRESUPUESTO'!$C$44:$C$49</c:f>
              <c:numCache>
                <c:formatCode>General</c:formatCode>
                <c:ptCount val="6"/>
                <c:pt idx="0">
                  <c:v>1</c:v>
                </c:pt>
                <c:pt idx="1">
                  <c:v>4</c:v>
                </c:pt>
                <c:pt idx="2">
                  <c:v>5</c:v>
                </c:pt>
                <c:pt idx="3">
                  <c:v>8</c:v>
                </c:pt>
                <c:pt idx="4">
                  <c:v>5</c:v>
                </c:pt>
              </c:numCache>
            </c:numRef>
          </c:val>
          <c:extLst>
            <c:ext xmlns:c16="http://schemas.microsoft.com/office/drawing/2014/chart" uri="{C3380CC4-5D6E-409C-BE32-E72D297353CC}">
              <c16:uniqueId val="{00000006-F0F6-4396-9D14-EDDCD1919B6D}"/>
            </c:ext>
          </c:extLst>
        </c:ser>
        <c:dLbls>
          <c:showLegendKey val="0"/>
          <c:showVal val="0"/>
          <c:showCatName val="0"/>
          <c:showSerName val="0"/>
          <c:showPercent val="0"/>
          <c:showBubbleSize val="0"/>
        </c:dLbls>
        <c:gapWidth val="182"/>
        <c:axId val="463661887"/>
        <c:axId val="535383935"/>
      </c:barChart>
      <c:catAx>
        <c:axId val="463661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35383935"/>
        <c:crosses val="autoZero"/>
        <c:auto val="1"/>
        <c:lblAlgn val="ctr"/>
        <c:lblOffset val="100"/>
        <c:noMultiLvlLbl val="0"/>
      </c:catAx>
      <c:valAx>
        <c:axId val="5353839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636618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50800</xdr:colOff>
      <xdr:row>25</xdr:row>
      <xdr:rowOff>19050</xdr:rowOff>
    </xdr:from>
    <xdr:ext cx="1219200" cy="650689"/>
    <xdr:pic>
      <xdr:nvPicPr>
        <xdr:cNvPr id="6" name="Imagen 5">
          <a:extLst>
            <a:ext uri="{FF2B5EF4-FFF2-40B4-BE49-F238E27FC236}">
              <a16:creationId xmlns:a16="http://schemas.microsoft.com/office/drawing/2014/main" id="{5BF2748C-3304-4D33-9F4E-8904EA8394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948055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207645</xdr:colOff>
      <xdr:row>51</xdr:row>
      <xdr:rowOff>57150</xdr:rowOff>
    </xdr:from>
    <xdr:ext cx="1219200" cy="650689"/>
    <xdr:pic>
      <xdr:nvPicPr>
        <xdr:cNvPr id="7" name="Imagen 6">
          <a:extLst>
            <a:ext uri="{FF2B5EF4-FFF2-40B4-BE49-F238E27FC236}">
              <a16:creationId xmlns:a16="http://schemas.microsoft.com/office/drawing/2014/main" id="{2BD8B17C-B83D-4951-8B6D-D180ED0633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2485263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207645</xdr:colOff>
      <xdr:row>77</xdr:row>
      <xdr:rowOff>57150</xdr:rowOff>
    </xdr:from>
    <xdr:ext cx="1219200" cy="650689"/>
    <xdr:pic>
      <xdr:nvPicPr>
        <xdr:cNvPr id="8" name="Imagen 7">
          <a:extLst>
            <a:ext uri="{FF2B5EF4-FFF2-40B4-BE49-F238E27FC236}">
              <a16:creationId xmlns:a16="http://schemas.microsoft.com/office/drawing/2014/main" id="{F61DDE4B-3FDF-412F-BCAD-327C9091D9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3216021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207645</xdr:colOff>
      <xdr:row>103</xdr:row>
      <xdr:rowOff>57150</xdr:rowOff>
    </xdr:from>
    <xdr:ext cx="1219200" cy="650689"/>
    <xdr:pic>
      <xdr:nvPicPr>
        <xdr:cNvPr id="9" name="Imagen 8">
          <a:extLst>
            <a:ext uri="{FF2B5EF4-FFF2-40B4-BE49-F238E27FC236}">
              <a16:creationId xmlns:a16="http://schemas.microsoft.com/office/drawing/2014/main" id="{9F222033-AF50-4CA4-97A3-FDD325C05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3910965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207645</xdr:colOff>
      <xdr:row>129</xdr:row>
      <xdr:rowOff>57150</xdr:rowOff>
    </xdr:from>
    <xdr:ext cx="1219200" cy="650689"/>
    <xdr:pic>
      <xdr:nvPicPr>
        <xdr:cNvPr id="10" name="Imagen 9">
          <a:extLst>
            <a:ext uri="{FF2B5EF4-FFF2-40B4-BE49-F238E27FC236}">
              <a16:creationId xmlns:a16="http://schemas.microsoft.com/office/drawing/2014/main" id="{1B3CB4F0-7860-4F2B-A2B0-140D993953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4625721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207645</xdr:colOff>
      <xdr:row>155</xdr:row>
      <xdr:rowOff>57150</xdr:rowOff>
    </xdr:from>
    <xdr:ext cx="1219200" cy="650689"/>
    <xdr:pic>
      <xdr:nvPicPr>
        <xdr:cNvPr id="11" name="Imagen 10">
          <a:extLst>
            <a:ext uri="{FF2B5EF4-FFF2-40B4-BE49-F238E27FC236}">
              <a16:creationId xmlns:a16="http://schemas.microsoft.com/office/drawing/2014/main" id="{A0CEE43E-0AD3-4A72-9DEE-4339E18EFB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5423535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12700</xdr:colOff>
      <xdr:row>0</xdr:row>
      <xdr:rowOff>0</xdr:rowOff>
    </xdr:from>
    <xdr:ext cx="1219200" cy="650689"/>
    <xdr:pic>
      <xdr:nvPicPr>
        <xdr:cNvPr id="12" name="Imagen 11">
          <a:extLst>
            <a:ext uri="{FF2B5EF4-FFF2-40B4-BE49-F238E27FC236}">
              <a16:creationId xmlns:a16="http://schemas.microsoft.com/office/drawing/2014/main" id="{DBEDB081-DC31-40EA-9EE0-433CBAA764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1219200" cy="6506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860424</xdr:colOff>
      <xdr:row>0</xdr:row>
      <xdr:rowOff>165100</xdr:rowOff>
    </xdr:from>
    <xdr:to>
      <xdr:col>12</xdr:col>
      <xdr:colOff>349584</xdr:colOff>
      <xdr:row>1</xdr:row>
      <xdr:rowOff>190500</xdr:rowOff>
    </xdr:to>
    <xdr:pic>
      <xdr:nvPicPr>
        <xdr:cNvPr id="2" name="1 Imagen" descr="logo final Ministerio de HAcienda-01">
          <a:extLst>
            <a:ext uri="{FF2B5EF4-FFF2-40B4-BE49-F238E27FC236}">
              <a16:creationId xmlns:a16="http://schemas.microsoft.com/office/drawing/2014/main" id="{008136DC-EE15-4239-8644-B7F1BF70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3984" y="165100"/>
          <a:ext cx="1826896" cy="901700"/>
        </a:xfrm>
        <a:prstGeom prst="rect">
          <a:avLst/>
        </a:prstGeom>
        <a:noFill/>
        <a:ln>
          <a:noFill/>
        </a:ln>
      </xdr:spPr>
    </xdr:pic>
    <xdr:clientData/>
  </xdr:twoCellAnchor>
  <xdr:twoCellAnchor editAs="oneCell">
    <xdr:from>
      <xdr:col>0</xdr:col>
      <xdr:colOff>0</xdr:colOff>
      <xdr:row>0</xdr:row>
      <xdr:rowOff>317499</xdr:rowOff>
    </xdr:from>
    <xdr:to>
      <xdr:col>12</xdr:col>
      <xdr:colOff>230587</xdr:colOff>
      <xdr:row>1</xdr:row>
      <xdr:rowOff>203200</xdr:rowOff>
    </xdr:to>
    <xdr:pic>
      <xdr:nvPicPr>
        <xdr:cNvPr id="3" name="2 Imagen">
          <a:extLst>
            <a:ext uri="{FF2B5EF4-FFF2-40B4-BE49-F238E27FC236}">
              <a16:creationId xmlns:a16="http://schemas.microsoft.com/office/drawing/2014/main" id="{630C933B-E96E-4B51-9655-0BB181E5FA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17499"/>
          <a:ext cx="1685191" cy="762001"/>
        </a:xfrm>
        <a:prstGeom prst="rect">
          <a:avLst/>
        </a:prstGeom>
        <a:noFill/>
        <a:ln>
          <a:noFill/>
        </a:ln>
      </xdr:spPr>
    </xdr:pic>
    <xdr:clientData/>
  </xdr:twoCellAnchor>
  <xdr:twoCellAnchor editAs="oneCell">
    <xdr:from>
      <xdr:col>3</xdr:col>
      <xdr:colOff>736600</xdr:colOff>
      <xdr:row>0</xdr:row>
      <xdr:rowOff>279400</xdr:rowOff>
    </xdr:from>
    <xdr:to>
      <xdr:col>12</xdr:col>
      <xdr:colOff>31447</xdr:colOff>
      <xdr:row>1</xdr:row>
      <xdr:rowOff>155460</xdr:rowOff>
    </xdr:to>
    <xdr:pic>
      <xdr:nvPicPr>
        <xdr:cNvPr id="4" name="Imagen 3">
          <a:extLst>
            <a:ext uri="{FF2B5EF4-FFF2-40B4-BE49-F238E27FC236}">
              <a16:creationId xmlns:a16="http://schemas.microsoft.com/office/drawing/2014/main" id="{0C3D127F-A8EC-49FC-B6B5-0C1FB86F7E4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9080" y="279400"/>
          <a:ext cx="1440180" cy="752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657224</xdr:colOff>
      <xdr:row>0</xdr:row>
      <xdr:rowOff>95250</xdr:rowOff>
    </xdr:from>
    <xdr:to>
      <xdr:col>13</xdr:col>
      <xdr:colOff>45779</xdr:colOff>
      <xdr:row>1</xdr:row>
      <xdr:rowOff>438150</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8324" y="95250"/>
          <a:ext cx="1609725" cy="607060"/>
        </a:xfrm>
        <a:prstGeom prst="rect">
          <a:avLst/>
        </a:prstGeom>
        <a:noFill/>
        <a:ln>
          <a:noFill/>
        </a:ln>
      </xdr:spPr>
    </xdr:pic>
    <xdr:clientData/>
  </xdr:twoCellAnchor>
  <xdr:twoCellAnchor editAs="oneCell">
    <xdr:from>
      <xdr:col>0</xdr:col>
      <xdr:colOff>0</xdr:colOff>
      <xdr:row>0</xdr:row>
      <xdr:rowOff>64559</xdr:rowOff>
    </xdr:from>
    <xdr:to>
      <xdr:col>12</xdr:col>
      <xdr:colOff>1576387</xdr:colOff>
      <xdr:row>1</xdr:row>
      <xdr:rowOff>335281</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559"/>
          <a:ext cx="1625600" cy="545042"/>
        </a:xfrm>
        <a:prstGeom prst="rect">
          <a:avLst/>
        </a:prstGeom>
        <a:noFill/>
        <a:ln>
          <a:noFill/>
        </a:ln>
      </xdr:spPr>
    </xdr:pic>
    <xdr:clientData/>
  </xdr:twoCellAnchor>
  <xdr:twoCellAnchor editAs="oneCell">
    <xdr:from>
      <xdr:col>4</xdr:col>
      <xdr:colOff>985520</xdr:colOff>
      <xdr:row>0</xdr:row>
      <xdr:rowOff>0</xdr:rowOff>
    </xdr:from>
    <xdr:to>
      <xdr:col>12</xdr:col>
      <xdr:colOff>1393613</xdr:colOff>
      <xdr:row>1</xdr:row>
      <xdr:rowOff>485660</xdr:rowOff>
    </xdr:to>
    <xdr:pic>
      <xdr:nvPicPr>
        <xdr:cNvPr id="4" name="Imagen 3">
          <a:extLst>
            <a:ext uri="{FF2B5EF4-FFF2-40B4-BE49-F238E27FC236}">
              <a16:creationId xmlns:a16="http://schemas.microsoft.com/office/drawing/2014/main" id="{C8159B80-AB1C-49D5-8EBE-D05A19FE69E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83680" y="0"/>
          <a:ext cx="1459653" cy="759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80</xdr:row>
      <xdr:rowOff>182879</xdr:rowOff>
    </xdr:from>
    <xdr:to>
      <xdr:col>3</xdr:col>
      <xdr:colOff>1066800</xdr:colOff>
      <xdr:row>100</xdr:row>
      <xdr:rowOff>38100</xdr:rowOff>
    </xdr:to>
    <xdr:graphicFrame macro="">
      <xdr:nvGraphicFramePr>
        <xdr:cNvPr id="2" name="Gráfico 1">
          <a:extLst>
            <a:ext uri="{FF2B5EF4-FFF2-40B4-BE49-F238E27FC236}">
              <a16:creationId xmlns:a16="http://schemas.microsoft.com/office/drawing/2014/main" id="{00175C99-CDCB-4937-A903-BAD668645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100</xdr:row>
      <xdr:rowOff>83820</xdr:rowOff>
    </xdr:from>
    <xdr:to>
      <xdr:col>3</xdr:col>
      <xdr:colOff>853440</xdr:colOff>
      <xdr:row>120</xdr:row>
      <xdr:rowOff>68580</xdr:rowOff>
    </xdr:to>
    <xdr:graphicFrame macro="">
      <xdr:nvGraphicFramePr>
        <xdr:cNvPr id="3" name="Gráfico 2">
          <a:extLst>
            <a:ext uri="{FF2B5EF4-FFF2-40B4-BE49-F238E27FC236}">
              <a16:creationId xmlns:a16="http://schemas.microsoft.com/office/drawing/2014/main" id="{6950E7F7-DF45-4B2C-9A44-518B08EE6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66</xdr:row>
      <xdr:rowOff>73062</xdr:rowOff>
    </xdr:from>
    <xdr:to>
      <xdr:col>3</xdr:col>
      <xdr:colOff>701042</xdr:colOff>
      <xdr:row>85</xdr:row>
      <xdr:rowOff>65442</xdr:rowOff>
    </xdr:to>
    <xdr:graphicFrame macro="">
      <xdr:nvGraphicFramePr>
        <xdr:cNvPr id="4" name="Gráfico 3">
          <a:extLst>
            <a:ext uri="{FF2B5EF4-FFF2-40B4-BE49-F238E27FC236}">
              <a16:creationId xmlns:a16="http://schemas.microsoft.com/office/drawing/2014/main" id="{5655C60C-2447-4E6C-A2CD-F62F0D1FC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800100</xdr:colOff>
      <xdr:row>75</xdr:row>
      <xdr:rowOff>22859</xdr:rowOff>
    </xdr:from>
    <xdr:to>
      <xdr:col>12</xdr:col>
      <xdr:colOff>525780</xdr:colOff>
      <xdr:row>95</xdr:row>
      <xdr:rowOff>7620</xdr:rowOff>
    </xdr:to>
    <xdr:graphicFrame macro="">
      <xdr:nvGraphicFramePr>
        <xdr:cNvPr id="5" name="Gráfico 4">
          <a:extLst>
            <a:ext uri="{FF2B5EF4-FFF2-40B4-BE49-F238E27FC236}">
              <a16:creationId xmlns:a16="http://schemas.microsoft.com/office/drawing/2014/main" id="{8AA3290E-7B24-449D-A6B5-5CA96D546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281940</xdr:colOff>
      <xdr:row>99</xdr:row>
      <xdr:rowOff>136207</xdr:rowOff>
    </xdr:from>
    <xdr:to>
      <xdr:col>11</xdr:col>
      <xdr:colOff>708660</xdr:colOff>
      <xdr:row>118</xdr:row>
      <xdr:rowOff>160020</xdr:rowOff>
    </xdr:to>
    <xdr:graphicFrame macro="">
      <xdr:nvGraphicFramePr>
        <xdr:cNvPr id="6" name="Gráfico 5">
          <a:extLst>
            <a:ext uri="{FF2B5EF4-FFF2-40B4-BE49-F238E27FC236}">
              <a16:creationId xmlns:a16="http://schemas.microsoft.com/office/drawing/2014/main" id="{792CC628-49F4-439A-8CE8-D716F7D86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rodriguez/AppData/Local/Microsoft/Windows/INetCache/Content.Outlook/J4DB0VVD/Plan%20de%20Acci&#243;n%20Programa%20II%20UCF-2019.%20Actualizaci&#243;n%2010.09.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rodriguez/AppData/Local/Microsoft/Windows/INetCache/Content.Outlook/PODJYROB/PROGRAMA%20I%20POI%20MAPP%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haves/AppData/Local/Microsoft/Windows/INetCache/Content.Outlook/YT5API45/PROGRAMA%20I%20POI%20MAPP%202020%20-%202-08-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rodriguez/Desktop/mapp%202019%20Programa%20i/MAPP%202019%20%20ASESORIA%20JURI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famcr-my.sharepoint.com/personal/rrodriguez_ifam_go_cr/Documents/Pres%20extraordinario%20I%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 de Trabajo"/>
      <sheetName val="2. Detalle de Gastos"/>
      <sheetName val="3. RRHH"/>
      <sheetName val="4. Distrib. RRHH"/>
      <sheetName val="5. Hrs-Supl-Recarg"/>
      <sheetName val="6. PPT x Metas"/>
      <sheetName val="7. MAPP"/>
      <sheetName val="FT"/>
      <sheetName val="Capacitaciones"/>
      <sheetName val="Viáticos"/>
      <sheetName val="Pasantías"/>
      <sheetName val="Desembolsos"/>
      <sheetName val="IF"/>
      <sheetName val="Plan de Acción Programa II U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 IFAM 2020 PROG. I"/>
      <sheetName val="Formulario Necesidades"/>
      <sheetName val="OBJETIVOS ESTRATEGICOS"/>
      <sheetName val="codigos pres"/>
    </sheetNames>
    <sheetDataSet>
      <sheetData sheetId="0" refreshError="1"/>
      <sheetData sheetId="1">
        <row r="295">
          <cell r="F295">
            <v>41600000</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pr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pres"/>
      <sheetName val="OBJETIVOS ESTRATEGICOS"/>
      <sheetName val="MAPP IFAM 2019 PROG.1"/>
      <sheetName val="PLAN DE TRABAJO 2019 "/>
      <sheetName val="Formulario Necesidades"/>
    </sheetNames>
    <sheetDataSet>
      <sheetData sheetId="0" refreshError="1"/>
      <sheetData sheetId="1" refreshError="1"/>
      <sheetData sheetId="2">
        <row r="18">
          <cell r="T18">
            <v>52500248.678999998</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4">
          <cell r="E4">
            <v>1058160820.0000001</v>
          </cell>
        </row>
        <row r="5">
          <cell r="E5">
            <v>7014599220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AD0D-FB3B-4ED3-9681-9FA15D46B407}">
  <sheetPr>
    <pageSetUpPr fitToPage="1"/>
  </sheetPr>
  <dimension ref="A1:C181"/>
  <sheetViews>
    <sheetView showGridLines="0" view="pageBreakPreview" topLeftCell="A178" zoomScale="75" zoomScaleNormal="100" zoomScaleSheetLayoutView="75" workbookViewId="0">
      <selection activeCell="C164" sqref="C164"/>
    </sheetView>
  </sheetViews>
  <sheetFormatPr baseColWidth="10" defaultColWidth="11.5703125" defaultRowHeight="15" x14ac:dyDescent="0.25"/>
  <cols>
    <col min="1" max="1" width="41.7109375" style="22" customWidth="1"/>
    <col min="2" max="2" width="12.28515625" style="22" customWidth="1"/>
    <col min="3" max="3" width="65.7109375" style="22" customWidth="1"/>
    <col min="4" max="16384" width="11.5703125" style="22"/>
  </cols>
  <sheetData>
    <row r="1" spans="1:3" ht="59.45" customHeight="1" thickBot="1" x14ac:dyDescent="0.3">
      <c r="A1" s="352" t="s">
        <v>0</v>
      </c>
      <c r="B1" s="353"/>
      <c r="C1" s="353"/>
    </row>
    <row r="2" spans="1:3" ht="27" customHeight="1" thickBot="1" x14ac:dyDescent="0.3">
      <c r="A2" s="138" t="s">
        <v>1</v>
      </c>
      <c r="B2" s="58" t="s">
        <v>2</v>
      </c>
      <c r="C2" s="59"/>
    </row>
    <row r="3" spans="1:3" ht="32.25" thickBot="1" x14ac:dyDescent="0.3">
      <c r="A3" s="139" t="s">
        <v>3</v>
      </c>
      <c r="B3" s="354" t="s">
        <v>4</v>
      </c>
      <c r="C3" s="355"/>
    </row>
    <row r="4" spans="1:3" ht="16.5" thickBot="1" x14ac:dyDescent="0.3">
      <c r="A4" s="138" t="s">
        <v>5</v>
      </c>
      <c r="B4" s="58" t="s">
        <v>6</v>
      </c>
      <c r="C4" s="59"/>
    </row>
    <row r="5" spans="1:3" ht="16.5" thickBot="1" x14ac:dyDescent="0.3">
      <c r="A5" s="138" t="s">
        <v>7</v>
      </c>
      <c r="B5" s="58" t="s">
        <v>8</v>
      </c>
      <c r="C5" s="60"/>
    </row>
    <row r="6" spans="1:3" ht="19.149999999999999" customHeight="1" x14ac:dyDescent="0.25">
      <c r="A6" s="346" t="s">
        <v>9</v>
      </c>
      <c r="B6" s="347"/>
      <c r="C6" s="347"/>
    </row>
    <row r="7" spans="1:3" ht="15" customHeight="1" thickBot="1" x14ac:dyDescent="0.3">
      <c r="A7" s="348" t="s">
        <v>10</v>
      </c>
      <c r="B7" s="349"/>
      <c r="C7" s="349"/>
    </row>
    <row r="8" spans="1:3" ht="15" customHeight="1" thickBot="1" x14ac:dyDescent="0.3">
      <c r="A8" s="350" t="s">
        <v>11</v>
      </c>
      <c r="B8" s="351"/>
      <c r="C8" s="273" t="s">
        <v>12</v>
      </c>
    </row>
    <row r="9" spans="1:3" ht="37.15" customHeight="1" thickBot="1" x14ac:dyDescent="0.3">
      <c r="A9" s="336" t="s">
        <v>13</v>
      </c>
      <c r="B9" s="337"/>
      <c r="C9" s="61" t="s">
        <v>14</v>
      </c>
    </row>
    <row r="10" spans="1:3" ht="37.15" customHeight="1" thickBot="1" x14ac:dyDescent="0.3">
      <c r="A10" s="336" t="s">
        <v>15</v>
      </c>
      <c r="B10" s="337"/>
      <c r="C10" s="61" t="s">
        <v>16</v>
      </c>
    </row>
    <row r="11" spans="1:3" ht="33" customHeight="1" thickBot="1" x14ac:dyDescent="0.3">
      <c r="A11" s="336" t="s">
        <v>17</v>
      </c>
      <c r="B11" s="337"/>
      <c r="C11" s="61" t="s">
        <v>18</v>
      </c>
    </row>
    <row r="12" spans="1:3" ht="36" customHeight="1" thickBot="1" x14ac:dyDescent="0.3">
      <c r="A12" s="336" t="s">
        <v>19</v>
      </c>
      <c r="B12" s="337"/>
      <c r="C12" s="61" t="s">
        <v>20</v>
      </c>
    </row>
    <row r="13" spans="1:3" ht="27" customHeight="1" thickBot="1" x14ac:dyDescent="0.3">
      <c r="A13" s="336" t="s">
        <v>21</v>
      </c>
      <c r="B13" s="337"/>
      <c r="C13" s="61" t="s">
        <v>22</v>
      </c>
    </row>
    <row r="14" spans="1:3" ht="43.9" customHeight="1" thickBot="1" x14ac:dyDescent="0.3">
      <c r="A14" s="336" t="s">
        <v>23</v>
      </c>
      <c r="B14" s="337"/>
      <c r="C14" s="61" t="s">
        <v>24</v>
      </c>
    </row>
    <row r="15" spans="1:3" ht="22.15" customHeight="1" thickBot="1" x14ac:dyDescent="0.3">
      <c r="A15" s="344" t="s">
        <v>25</v>
      </c>
      <c r="B15" s="272" t="s">
        <v>26</v>
      </c>
      <c r="C15" s="61"/>
    </row>
    <row r="16" spans="1:3" ht="29.45" customHeight="1" thickBot="1" x14ac:dyDescent="0.3">
      <c r="A16" s="345"/>
      <c r="B16" s="272" t="s">
        <v>27</v>
      </c>
      <c r="C16" s="61" t="s">
        <v>28</v>
      </c>
    </row>
    <row r="17" spans="1:3" ht="29.45" customHeight="1" thickBot="1" x14ac:dyDescent="0.3">
      <c r="A17" s="336" t="s">
        <v>29</v>
      </c>
      <c r="B17" s="337"/>
      <c r="C17" s="61" t="s">
        <v>30</v>
      </c>
    </row>
    <row r="18" spans="1:3" ht="37.15" customHeight="1" thickBot="1" x14ac:dyDescent="0.3">
      <c r="A18" s="336" t="s">
        <v>31</v>
      </c>
      <c r="B18" s="337"/>
      <c r="C18" s="61" t="s">
        <v>32</v>
      </c>
    </row>
    <row r="19" spans="1:3" ht="21" customHeight="1" thickBot="1" x14ac:dyDescent="0.3">
      <c r="A19" s="336" t="s">
        <v>33</v>
      </c>
      <c r="B19" s="337"/>
      <c r="C19" s="61" t="s">
        <v>34</v>
      </c>
    </row>
    <row r="20" spans="1:3" ht="39" customHeight="1" thickBot="1" x14ac:dyDescent="0.3">
      <c r="A20" s="336" t="s">
        <v>35</v>
      </c>
      <c r="B20" s="337"/>
      <c r="C20" s="62" t="s">
        <v>36</v>
      </c>
    </row>
    <row r="21" spans="1:3" ht="13.15" customHeight="1" x14ac:dyDescent="0.25">
      <c r="A21" s="338" t="s">
        <v>37</v>
      </c>
      <c r="B21" s="339"/>
      <c r="C21" s="63" t="s">
        <v>38</v>
      </c>
    </row>
    <row r="22" spans="1:3" ht="15" customHeight="1" x14ac:dyDescent="0.25">
      <c r="A22" s="340"/>
      <c r="B22" s="341"/>
      <c r="C22" s="63" t="s">
        <v>39</v>
      </c>
    </row>
    <row r="23" spans="1:3" ht="16.149999999999999" customHeight="1" thickBot="1" x14ac:dyDescent="0.3">
      <c r="A23" s="342"/>
      <c r="B23" s="343"/>
      <c r="C23" s="61" t="s">
        <v>40</v>
      </c>
    </row>
    <row r="24" spans="1:3" ht="42" customHeight="1" thickBot="1" x14ac:dyDescent="0.3">
      <c r="A24" s="336" t="s">
        <v>41</v>
      </c>
      <c r="B24" s="337"/>
      <c r="C24" s="61" t="s">
        <v>42</v>
      </c>
    </row>
    <row r="25" spans="1:3" ht="60.75" thickBot="1" x14ac:dyDescent="0.3">
      <c r="A25" s="336" t="s">
        <v>43</v>
      </c>
      <c r="B25" s="337"/>
      <c r="C25" s="61" t="s">
        <v>44</v>
      </c>
    </row>
    <row r="26" spans="1:3" ht="51" customHeight="1" thickBot="1" x14ac:dyDescent="0.3">
      <c r="A26" s="352" t="s">
        <v>0</v>
      </c>
      <c r="B26" s="353"/>
      <c r="C26" s="353"/>
    </row>
    <row r="27" spans="1:3" ht="16.5" thickBot="1" x14ac:dyDescent="0.3">
      <c r="A27" s="138" t="s">
        <v>1</v>
      </c>
      <c r="B27" s="58" t="s">
        <v>2</v>
      </c>
      <c r="C27" s="59"/>
    </row>
    <row r="28" spans="1:3" ht="32.25" thickBot="1" x14ac:dyDescent="0.3">
      <c r="A28" s="139" t="s">
        <v>3</v>
      </c>
      <c r="B28" s="354" t="s">
        <v>4</v>
      </c>
      <c r="C28" s="355"/>
    </row>
    <row r="29" spans="1:3" ht="16.5" thickBot="1" x14ac:dyDescent="0.3">
      <c r="A29" s="138" t="s">
        <v>5</v>
      </c>
      <c r="B29" s="58" t="s">
        <v>6</v>
      </c>
      <c r="C29" s="59"/>
    </row>
    <row r="30" spans="1:3" ht="16.5" thickBot="1" x14ac:dyDescent="0.3">
      <c r="A30" s="138" t="s">
        <v>7</v>
      </c>
      <c r="B30" s="58" t="s">
        <v>8</v>
      </c>
      <c r="C30" s="60"/>
    </row>
    <row r="31" spans="1:3" ht="5.45" customHeight="1" x14ac:dyDescent="0.25">
      <c r="A31" s="140"/>
      <c r="B31" s="141"/>
      <c r="C31" s="141"/>
    </row>
    <row r="32" spans="1:3" x14ac:dyDescent="0.25">
      <c r="A32" s="346" t="s">
        <v>45</v>
      </c>
      <c r="B32" s="347"/>
      <c r="C32" s="347"/>
    </row>
    <row r="33" spans="1:3" ht="18.600000000000001" customHeight="1" thickBot="1" x14ac:dyDescent="0.3">
      <c r="A33" s="348" t="s">
        <v>10</v>
      </c>
      <c r="B33" s="349"/>
      <c r="C33" s="349"/>
    </row>
    <row r="34" spans="1:3" ht="15.75" thickBot="1" x14ac:dyDescent="0.3">
      <c r="A34" s="350" t="s">
        <v>11</v>
      </c>
      <c r="B34" s="351"/>
      <c r="C34" s="126" t="s">
        <v>12</v>
      </c>
    </row>
    <row r="35" spans="1:3" ht="24.75" thickBot="1" x14ac:dyDescent="0.3">
      <c r="A35" s="336" t="s">
        <v>46</v>
      </c>
      <c r="B35" s="337"/>
      <c r="C35" s="61" t="s">
        <v>47</v>
      </c>
    </row>
    <row r="36" spans="1:3" ht="24" customHeight="1" thickBot="1" x14ac:dyDescent="0.3">
      <c r="A36" s="336" t="s">
        <v>15</v>
      </c>
      <c r="B36" s="337"/>
      <c r="C36" s="61" t="s">
        <v>48</v>
      </c>
    </row>
    <row r="37" spans="1:3" ht="36.75" thickBot="1" x14ac:dyDescent="0.3">
      <c r="A37" s="336" t="s">
        <v>17</v>
      </c>
      <c r="B37" s="337"/>
      <c r="C37" s="61" t="s">
        <v>49</v>
      </c>
    </row>
    <row r="38" spans="1:3" ht="24" customHeight="1" thickBot="1" x14ac:dyDescent="0.3">
      <c r="A38" s="336" t="s">
        <v>19</v>
      </c>
      <c r="B38" s="337"/>
      <c r="C38" s="61" t="s">
        <v>50</v>
      </c>
    </row>
    <row r="39" spans="1:3" ht="15.75" thickBot="1" x14ac:dyDescent="0.3">
      <c r="A39" s="336" t="s">
        <v>21</v>
      </c>
      <c r="B39" s="337"/>
      <c r="C39" s="61" t="s">
        <v>51</v>
      </c>
    </row>
    <row r="40" spans="1:3" ht="36.75" thickBot="1" x14ac:dyDescent="0.3">
      <c r="A40" s="336" t="s">
        <v>23</v>
      </c>
      <c r="B40" s="337"/>
      <c r="C40" s="61" t="s">
        <v>52</v>
      </c>
    </row>
    <row r="41" spans="1:3" ht="15.75" thickBot="1" x14ac:dyDescent="0.3">
      <c r="A41" s="344" t="s">
        <v>25</v>
      </c>
      <c r="B41" s="272" t="s">
        <v>26</v>
      </c>
      <c r="C41" s="61" t="s">
        <v>53</v>
      </c>
    </row>
    <row r="42" spans="1:3" ht="15.75" thickBot="1" x14ac:dyDescent="0.3">
      <c r="A42" s="345"/>
      <c r="B42" s="272" t="s">
        <v>27</v>
      </c>
      <c r="C42" s="61"/>
    </row>
    <row r="43" spans="1:3" ht="15.75" thickBot="1" x14ac:dyDescent="0.3">
      <c r="A43" s="336" t="s">
        <v>29</v>
      </c>
      <c r="B43" s="337"/>
      <c r="C43" s="61">
        <v>2019</v>
      </c>
    </row>
    <row r="44" spans="1:3" ht="24.75" thickBot="1" x14ac:dyDescent="0.3">
      <c r="A44" s="336" t="s">
        <v>31</v>
      </c>
      <c r="B44" s="337"/>
      <c r="C44" s="61" t="s">
        <v>54</v>
      </c>
    </row>
    <row r="45" spans="1:3" ht="15.75" thickBot="1" x14ac:dyDescent="0.3">
      <c r="A45" s="336" t="s">
        <v>33</v>
      </c>
      <c r="B45" s="337"/>
      <c r="C45" s="61" t="s">
        <v>34</v>
      </c>
    </row>
    <row r="46" spans="1:3" ht="27" customHeight="1" thickBot="1" x14ac:dyDescent="0.3">
      <c r="A46" s="336" t="s">
        <v>35</v>
      </c>
      <c r="B46" s="337"/>
      <c r="C46" s="62" t="s">
        <v>55</v>
      </c>
    </row>
    <row r="47" spans="1:3" x14ac:dyDescent="0.25">
      <c r="A47" s="338" t="s">
        <v>37</v>
      </c>
      <c r="B47" s="339"/>
      <c r="C47" s="63" t="s">
        <v>56</v>
      </c>
    </row>
    <row r="48" spans="1:3" x14ac:dyDescent="0.25">
      <c r="A48" s="340"/>
      <c r="B48" s="341"/>
      <c r="C48" s="63" t="s">
        <v>57</v>
      </c>
    </row>
    <row r="49" spans="1:3" ht="15.75" thickBot="1" x14ac:dyDescent="0.3">
      <c r="A49" s="342"/>
      <c r="B49" s="343"/>
      <c r="C49" s="61" t="s">
        <v>58</v>
      </c>
    </row>
    <row r="50" spans="1:3" ht="29.45" customHeight="1" thickBot="1" x14ac:dyDescent="0.3">
      <c r="A50" s="336" t="s">
        <v>41</v>
      </c>
      <c r="B50" s="337"/>
      <c r="C50" s="61" t="s">
        <v>59</v>
      </c>
    </row>
    <row r="51" spans="1:3" ht="36.75" thickBot="1" x14ac:dyDescent="0.3">
      <c r="A51" s="336" t="s">
        <v>43</v>
      </c>
      <c r="B51" s="337"/>
      <c r="C51" s="61" t="s">
        <v>60</v>
      </c>
    </row>
    <row r="52" spans="1:3" ht="63.6" customHeight="1" thickBot="1" x14ac:dyDescent="0.3">
      <c r="A52" s="352" t="s">
        <v>0</v>
      </c>
      <c r="B52" s="353"/>
      <c r="C52" s="353"/>
    </row>
    <row r="53" spans="1:3" ht="16.5" thickBot="1" x14ac:dyDescent="0.3">
      <c r="A53" s="138" t="s">
        <v>1</v>
      </c>
      <c r="B53" s="58" t="s">
        <v>2</v>
      </c>
      <c r="C53" s="59"/>
    </row>
    <row r="54" spans="1:3" ht="32.25" thickBot="1" x14ac:dyDescent="0.3">
      <c r="A54" s="139" t="s">
        <v>3</v>
      </c>
      <c r="B54" s="354" t="s">
        <v>4</v>
      </c>
      <c r="C54" s="355"/>
    </row>
    <row r="55" spans="1:3" ht="16.5" thickBot="1" x14ac:dyDescent="0.3">
      <c r="A55" s="138" t="s">
        <v>5</v>
      </c>
      <c r="B55" s="58" t="s">
        <v>6</v>
      </c>
      <c r="C55" s="59"/>
    </row>
    <row r="56" spans="1:3" ht="16.5" thickBot="1" x14ac:dyDescent="0.3">
      <c r="A56" s="138" t="s">
        <v>7</v>
      </c>
      <c r="B56" s="58" t="s">
        <v>8</v>
      </c>
      <c r="C56" s="60"/>
    </row>
    <row r="57" spans="1:3" x14ac:dyDescent="0.25">
      <c r="A57" s="142"/>
      <c r="B57" s="143"/>
      <c r="C57" s="143"/>
    </row>
    <row r="58" spans="1:3" x14ac:dyDescent="0.25">
      <c r="A58" s="346" t="s">
        <v>61</v>
      </c>
      <c r="B58" s="347"/>
      <c r="C58" s="347"/>
    </row>
    <row r="59" spans="1:3" ht="15.75" thickBot="1" x14ac:dyDescent="0.3">
      <c r="A59" s="348" t="s">
        <v>10</v>
      </c>
      <c r="B59" s="349"/>
      <c r="C59" s="349"/>
    </row>
    <row r="60" spans="1:3" ht="15.75" thickBot="1" x14ac:dyDescent="0.3">
      <c r="A60" s="350" t="s">
        <v>11</v>
      </c>
      <c r="B60" s="351"/>
      <c r="C60" s="126" t="s">
        <v>12</v>
      </c>
    </row>
    <row r="61" spans="1:3" ht="24.75" thickBot="1" x14ac:dyDescent="0.3">
      <c r="A61" s="336" t="s">
        <v>13</v>
      </c>
      <c r="B61" s="337"/>
      <c r="C61" s="61" t="s">
        <v>62</v>
      </c>
    </row>
    <row r="62" spans="1:3" ht="27" customHeight="1" thickBot="1" x14ac:dyDescent="0.3">
      <c r="A62" s="336" t="s">
        <v>15</v>
      </c>
      <c r="B62" s="337"/>
      <c r="C62" s="61" t="s">
        <v>63</v>
      </c>
    </row>
    <row r="63" spans="1:3" ht="24.75" thickBot="1" x14ac:dyDescent="0.3">
      <c r="A63" s="336" t="s">
        <v>17</v>
      </c>
      <c r="B63" s="337"/>
      <c r="C63" s="61" t="s">
        <v>64</v>
      </c>
    </row>
    <row r="64" spans="1:3" ht="15.75" thickBot="1" x14ac:dyDescent="0.3">
      <c r="A64" s="336" t="s">
        <v>19</v>
      </c>
      <c r="B64" s="337"/>
      <c r="C64" s="61" t="s">
        <v>65</v>
      </c>
    </row>
    <row r="65" spans="1:3" ht="15.75" thickBot="1" x14ac:dyDescent="0.3">
      <c r="A65" s="336" t="s">
        <v>21</v>
      </c>
      <c r="B65" s="337"/>
      <c r="C65" s="61" t="s">
        <v>66</v>
      </c>
    </row>
    <row r="66" spans="1:3" ht="24.75" thickBot="1" x14ac:dyDescent="0.3">
      <c r="A66" s="336" t="s">
        <v>23</v>
      </c>
      <c r="B66" s="337"/>
      <c r="C66" s="61" t="s">
        <v>67</v>
      </c>
    </row>
    <row r="67" spans="1:3" ht="15.75" thickBot="1" x14ac:dyDescent="0.3">
      <c r="A67" s="344" t="s">
        <v>25</v>
      </c>
      <c r="B67" s="272" t="s">
        <v>26</v>
      </c>
      <c r="C67" s="61"/>
    </row>
    <row r="68" spans="1:3" ht="36.75" thickBot="1" x14ac:dyDescent="0.3">
      <c r="A68" s="345"/>
      <c r="B68" s="272" t="s">
        <v>27</v>
      </c>
      <c r="C68" s="61" t="s">
        <v>68</v>
      </c>
    </row>
    <row r="69" spans="1:3" ht="15.75" thickBot="1" x14ac:dyDescent="0.3">
      <c r="A69" s="336" t="s">
        <v>29</v>
      </c>
      <c r="B69" s="337"/>
      <c r="C69" s="61">
        <v>0</v>
      </c>
    </row>
    <row r="70" spans="1:3" ht="15.75" thickBot="1" x14ac:dyDescent="0.3">
      <c r="A70" s="336" t="s">
        <v>31</v>
      </c>
      <c r="B70" s="337"/>
      <c r="C70" s="61" t="s">
        <v>69</v>
      </c>
    </row>
    <row r="71" spans="1:3" ht="15.75" thickBot="1" x14ac:dyDescent="0.3">
      <c r="A71" s="336" t="s">
        <v>33</v>
      </c>
      <c r="B71" s="337"/>
      <c r="C71" s="61" t="s">
        <v>34</v>
      </c>
    </row>
    <row r="72" spans="1:3" ht="24.75" thickBot="1" x14ac:dyDescent="0.3">
      <c r="A72" s="336" t="s">
        <v>35</v>
      </c>
      <c r="B72" s="337"/>
      <c r="C72" s="62" t="s">
        <v>70</v>
      </c>
    </row>
    <row r="73" spans="1:3" x14ac:dyDescent="0.25">
      <c r="A73" s="338" t="s">
        <v>37</v>
      </c>
      <c r="B73" s="339"/>
      <c r="C73" s="63" t="s">
        <v>71</v>
      </c>
    </row>
    <row r="74" spans="1:3" x14ac:dyDescent="0.25">
      <c r="A74" s="340"/>
      <c r="B74" s="341"/>
      <c r="C74" s="63" t="s">
        <v>39</v>
      </c>
    </row>
    <row r="75" spans="1:3" ht="15.75" thickBot="1" x14ac:dyDescent="0.3">
      <c r="A75" s="342"/>
      <c r="B75" s="343"/>
      <c r="C75" s="61" t="s">
        <v>58</v>
      </c>
    </row>
    <row r="76" spans="1:3" ht="63" customHeight="1" thickBot="1" x14ac:dyDescent="0.3">
      <c r="A76" s="336" t="s">
        <v>41</v>
      </c>
      <c r="B76" s="337"/>
      <c r="C76" s="61" t="s">
        <v>72</v>
      </c>
    </row>
    <row r="77" spans="1:3" ht="36.75" thickBot="1" x14ac:dyDescent="0.3">
      <c r="A77" s="336" t="s">
        <v>43</v>
      </c>
      <c r="B77" s="337"/>
      <c r="C77" s="61" t="s">
        <v>73</v>
      </c>
    </row>
    <row r="78" spans="1:3" ht="63.6" customHeight="1" thickBot="1" x14ac:dyDescent="0.3">
      <c r="A78" s="352" t="s">
        <v>0</v>
      </c>
      <c r="B78" s="353"/>
      <c r="C78" s="353"/>
    </row>
    <row r="79" spans="1:3" ht="16.5" thickBot="1" x14ac:dyDescent="0.3">
      <c r="A79" s="138" t="s">
        <v>1</v>
      </c>
      <c r="B79" s="58" t="s">
        <v>2</v>
      </c>
      <c r="C79" s="59"/>
    </row>
    <row r="80" spans="1:3" ht="32.25" thickBot="1" x14ac:dyDescent="0.3">
      <c r="A80" s="139" t="s">
        <v>3</v>
      </c>
      <c r="B80" s="354" t="s">
        <v>4</v>
      </c>
      <c r="C80" s="355"/>
    </row>
    <row r="81" spans="1:3" ht="16.5" thickBot="1" x14ac:dyDescent="0.3">
      <c r="A81" s="138" t="s">
        <v>5</v>
      </c>
      <c r="B81" s="58" t="s">
        <v>6</v>
      </c>
      <c r="C81" s="59"/>
    </row>
    <row r="82" spans="1:3" ht="16.5" thickBot="1" x14ac:dyDescent="0.3">
      <c r="A82" s="138" t="s">
        <v>7</v>
      </c>
      <c r="B82" s="58" t="s">
        <v>8</v>
      </c>
      <c r="C82" s="60"/>
    </row>
    <row r="83" spans="1:3" x14ac:dyDescent="0.25">
      <c r="A83" s="140"/>
      <c r="B83" s="141"/>
      <c r="C83" s="141"/>
    </row>
    <row r="84" spans="1:3" x14ac:dyDescent="0.25">
      <c r="A84" s="346" t="s">
        <v>74</v>
      </c>
      <c r="B84" s="347"/>
      <c r="C84" s="347"/>
    </row>
    <row r="85" spans="1:3" ht="15.75" thickBot="1" x14ac:dyDescent="0.3">
      <c r="A85" s="348" t="s">
        <v>10</v>
      </c>
      <c r="B85" s="349"/>
      <c r="C85" s="349"/>
    </row>
    <row r="86" spans="1:3" ht="15.75" thickBot="1" x14ac:dyDescent="0.3">
      <c r="A86" s="350" t="s">
        <v>11</v>
      </c>
      <c r="B86" s="351"/>
      <c r="C86" s="126" t="s">
        <v>12</v>
      </c>
    </row>
    <row r="87" spans="1:3" ht="24.75" thickBot="1" x14ac:dyDescent="0.3">
      <c r="A87" s="336" t="s">
        <v>13</v>
      </c>
      <c r="B87" s="337"/>
      <c r="C87" s="61" t="s">
        <v>75</v>
      </c>
    </row>
    <row r="88" spans="1:3" ht="24.75" thickBot="1" x14ac:dyDescent="0.3">
      <c r="A88" s="336" t="s">
        <v>15</v>
      </c>
      <c r="B88" s="337"/>
      <c r="C88" s="61" t="s">
        <v>75</v>
      </c>
    </row>
    <row r="89" spans="1:3" ht="24.75" thickBot="1" x14ac:dyDescent="0.3">
      <c r="A89" s="336" t="s">
        <v>17</v>
      </c>
      <c r="B89" s="337"/>
      <c r="C89" s="61" t="s">
        <v>76</v>
      </c>
    </row>
    <row r="90" spans="1:3" ht="24.75" thickBot="1" x14ac:dyDescent="0.3">
      <c r="A90" s="336" t="s">
        <v>19</v>
      </c>
      <c r="B90" s="337"/>
      <c r="C90" s="61" t="s">
        <v>77</v>
      </c>
    </row>
    <row r="91" spans="1:3" ht="15.75" thickBot="1" x14ac:dyDescent="0.3">
      <c r="A91" s="336" t="s">
        <v>21</v>
      </c>
      <c r="B91" s="337"/>
      <c r="C91" s="61" t="s">
        <v>66</v>
      </c>
    </row>
    <row r="92" spans="1:3" ht="24.75" thickBot="1" x14ac:dyDescent="0.3">
      <c r="A92" s="336" t="s">
        <v>23</v>
      </c>
      <c r="B92" s="337"/>
      <c r="C92" s="61" t="s">
        <v>78</v>
      </c>
    </row>
    <row r="93" spans="1:3" ht="15.75" thickBot="1" x14ac:dyDescent="0.3">
      <c r="A93" s="344" t="s">
        <v>25</v>
      </c>
      <c r="B93" s="272" t="s">
        <v>26</v>
      </c>
      <c r="C93" s="61"/>
    </row>
    <row r="94" spans="1:3" ht="24.75" thickBot="1" x14ac:dyDescent="0.3">
      <c r="A94" s="345"/>
      <c r="B94" s="272" t="s">
        <v>27</v>
      </c>
      <c r="C94" s="61" t="s">
        <v>79</v>
      </c>
    </row>
    <row r="95" spans="1:3" ht="15.75" thickBot="1" x14ac:dyDescent="0.3">
      <c r="A95" s="336" t="s">
        <v>29</v>
      </c>
      <c r="B95" s="337"/>
      <c r="C95" s="61">
        <v>0</v>
      </c>
    </row>
    <row r="96" spans="1:3" ht="24.75" thickBot="1" x14ac:dyDescent="0.3">
      <c r="A96" s="336" t="s">
        <v>31</v>
      </c>
      <c r="B96" s="337"/>
      <c r="C96" s="61" t="s">
        <v>80</v>
      </c>
    </row>
    <row r="97" spans="1:3" ht="15.75" thickBot="1" x14ac:dyDescent="0.3">
      <c r="A97" s="336" t="s">
        <v>33</v>
      </c>
      <c r="B97" s="337"/>
      <c r="C97" s="61" t="s">
        <v>34</v>
      </c>
    </row>
    <row r="98" spans="1:3" ht="36.75" thickBot="1" x14ac:dyDescent="0.3">
      <c r="A98" s="336" t="s">
        <v>35</v>
      </c>
      <c r="B98" s="337"/>
      <c r="C98" s="62" t="s">
        <v>81</v>
      </c>
    </row>
    <row r="99" spans="1:3" x14ac:dyDescent="0.25">
      <c r="A99" s="338" t="s">
        <v>37</v>
      </c>
      <c r="B99" s="339"/>
      <c r="C99" s="63" t="s">
        <v>56</v>
      </c>
    </row>
    <row r="100" spans="1:3" x14ac:dyDescent="0.25">
      <c r="A100" s="340"/>
      <c r="B100" s="341"/>
      <c r="C100" s="63" t="s">
        <v>39</v>
      </c>
    </row>
    <row r="101" spans="1:3" ht="15.75" thickBot="1" x14ac:dyDescent="0.3">
      <c r="A101" s="342"/>
      <c r="B101" s="343"/>
      <c r="C101" s="61" t="s">
        <v>40</v>
      </c>
    </row>
    <row r="102" spans="1:3" ht="68.45" customHeight="1" thickBot="1" x14ac:dyDescent="0.3">
      <c r="A102" s="336" t="s">
        <v>41</v>
      </c>
      <c r="B102" s="337"/>
      <c r="C102" s="61" t="s">
        <v>82</v>
      </c>
    </row>
    <row r="103" spans="1:3" ht="36.75" thickBot="1" x14ac:dyDescent="0.3">
      <c r="A103" s="336" t="s">
        <v>43</v>
      </c>
      <c r="B103" s="337"/>
      <c r="C103" s="61" t="s">
        <v>73</v>
      </c>
    </row>
    <row r="104" spans="1:3" ht="66.599999999999994" customHeight="1" thickBot="1" x14ac:dyDescent="0.3">
      <c r="A104" s="352" t="s">
        <v>0</v>
      </c>
      <c r="B104" s="353"/>
      <c r="C104" s="353"/>
    </row>
    <row r="105" spans="1:3" ht="16.5" thickBot="1" x14ac:dyDescent="0.3">
      <c r="A105" s="138" t="s">
        <v>1</v>
      </c>
      <c r="B105" s="58" t="s">
        <v>2</v>
      </c>
      <c r="C105" s="59"/>
    </row>
    <row r="106" spans="1:3" ht="32.25" thickBot="1" x14ac:dyDescent="0.3">
      <c r="A106" s="139" t="s">
        <v>3</v>
      </c>
      <c r="B106" s="354" t="s">
        <v>4</v>
      </c>
      <c r="C106" s="355"/>
    </row>
    <row r="107" spans="1:3" ht="16.5" thickBot="1" x14ac:dyDescent="0.3">
      <c r="A107" s="138" t="s">
        <v>5</v>
      </c>
      <c r="B107" s="58" t="s">
        <v>6</v>
      </c>
      <c r="C107" s="59"/>
    </row>
    <row r="108" spans="1:3" ht="16.5" thickBot="1" x14ac:dyDescent="0.3">
      <c r="A108" s="138" t="s">
        <v>7</v>
      </c>
      <c r="B108" s="58" t="s">
        <v>8</v>
      </c>
      <c r="C108" s="60"/>
    </row>
    <row r="109" spans="1:3" x14ac:dyDescent="0.25">
      <c r="A109" s="140"/>
      <c r="B109" s="141"/>
      <c r="C109" s="141"/>
    </row>
    <row r="110" spans="1:3" x14ac:dyDescent="0.25">
      <c r="A110" s="346" t="s">
        <v>83</v>
      </c>
      <c r="B110" s="347"/>
      <c r="C110" s="347"/>
    </row>
    <row r="111" spans="1:3" ht="15.75" thickBot="1" x14ac:dyDescent="0.3">
      <c r="A111" s="348" t="s">
        <v>10</v>
      </c>
      <c r="B111" s="349"/>
      <c r="C111" s="349"/>
    </row>
    <row r="112" spans="1:3" ht="15.75" thickBot="1" x14ac:dyDescent="0.3">
      <c r="A112" s="350" t="s">
        <v>11</v>
      </c>
      <c r="B112" s="351"/>
      <c r="C112" s="126" t="s">
        <v>12</v>
      </c>
    </row>
    <row r="113" spans="1:3" ht="24.75" thickBot="1" x14ac:dyDescent="0.3">
      <c r="A113" s="336" t="s">
        <v>13</v>
      </c>
      <c r="B113" s="337"/>
      <c r="C113" s="61" t="s">
        <v>84</v>
      </c>
    </row>
    <row r="114" spans="1:3" ht="24.75" thickBot="1" x14ac:dyDescent="0.3">
      <c r="A114" s="336" t="s">
        <v>15</v>
      </c>
      <c r="B114" s="337"/>
      <c r="C114" s="61" t="s">
        <v>85</v>
      </c>
    </row>
    <row r="115" spans="1:3" ht="48.75" thickBot="1" x14ac:dyDescent="0.3">
      <c r="A115" s="336" t="s">
        <v>17</v>
      </c>
      <c r="B115" s="337"/>
      <c r="C115" s="61" t="s">
        <v>86</v>
      </c>
    </row>
    <row r="116" spans="1:3" ht="15.75" thickBot="1" x14ac:dyDescent="0.3">
      <c r="A116" s="336" t="s">
        <v>19</v>
      </c>
      <c r="B116" s="337"/>
      <c r="C116" s="61" t="s">
        <v>87</v>
      </c>
    </row>
    <row r="117" spans="1:3" ht="15.75" thickBot="1" x14ac:dyDescent="0.3">
      <c r="A117" s="336" t="s">
        <v>21</v>
      </c>
      <c r="B117" s="337"/>
      <c r="C117" s="61" t="s">
        <v>66</v>
      </c>
    </row>
    <row r="118" spans="1:3" ht="48.75" thickBot="1" x14ac:dyDescent="0.3">
      <c r="A118" s="336" t="s">
        <v>23</v>
      </c>
      <c r="B118" s="337"/>
      <c r="C118" s="61" t="s">
        <v>88</v>
      </c>
    </row>
    <row r="119" spans="1:3" ht="15.75" thickBot="1" x14ac:dyDescent="0.3">
      <c r="A119" s="344" t="s">
        <v>25</v>
      </c>
      <c r="B119" s="272" t="s">
        <v>26</v>
      </c>
      <c r="C119" s="61"/>
    </row>
    <row r="120" spans="1:3" ht="24.75" thickBot="1" x14ac:dyDescent="0.3">
      <c r="A120" s="345"/>
      <c r="B120" s="272" t="s">
        <v>27</v>
      </c>
      <c r="C120" s="61" t="s">
        <v>89</v>
      </c>
    </row>
    <row r="121" spans="1:3" ht="15.75" thickBot="1" x14ac:dyDescent="0.3">
      <c r="A121" s="336" t="s">
        <v>29</v>
      </c>
      <c r="B121" s="337"/>
      <c r="C121" s="61">
        <v>0</v>
      </c>
    </row>
    <row r="122" spans="1:3" ht="24.75" thickBot="1" x14ac:dyDescent="0.3">
      <c r="A122" s="336" t="s">
        <v>31</v>
      </c>
      <c r="B122" s="337"/>
      <c r="C122" s="61" t="s">
        <v>90</v>
      </c>
    </row>
    <row r="123" spans="1:3" ht="15.75" thickBot="1" x14ac:dyDescent="0.3">
      <c r="A123" s="336" t="s">
        <v>33</v>
      </c>
      <c r="B123" s="337"/>
      <c r="C123" s="61" t="s">
        <v>34</v>
      </c>
    </row>
    <row r="124" spans="1:3" ht="36.75" thickBot="1" x14ac:dyDescent="0.3">
      <c r="A124" s="336" t="s">
        <v>35</v>
      </c>
      <c r="B124" s="337"/>
      <c r="C124" s="61" t="s">
        <v>91</v>
      </c>
    </row>
    <row r="125" spans="1:3" x14ac:dyDescent="0.25">
      <c r="A125" s="338" t="s">
        <v>37</v>
      </c>
      <c r="B125" s="339"/>
      <c r="C125" s="63" t="s">
        <v>71</v>
      </c>
    </row>
    <row r="126" spans="1:3" x14ac:dyDescent="0.25">
      <c r="A126" s="340"/>
      <c r="B126" s="341"/>
      <c r="C126" s="63" t="s">
        <v>39</v>
      </c>
    </row>
    <row r="127" spans="1:3" ht="15.75" thickBot="1" x14ac:dyDescent="0.3">
      <c r="A127" s="342"/>
      <c r="B127" s="343"/>
      <c r="C127" s="61" t="s">
        <v>58</v>
      </c>
    </row>
    <row r="128" spans="1:3" ht="63.6" customHeight="1" thickBot="1" x14ac:dyDescent="0.3">
      <c r="A128" s="336" t="s">
        <v>41</v>
      </c>
      <c r="B128" s="337"/>
      <c r="C128" s="61" t="s">
        <v>92</v>
      </c>
    </row>
    <row r="129" spans="1:3" ht="36.75" thickBot="1" x14ac:dyDescent="0.3">
      <c r="A129" s="336" t="s">
        <v>43</v>
      </c>
      <c r="B129" s="337"/>
      <c r="C129" s="61" t="s">
        <v>93</v>
      </c>
    </row>
    <row r="130" spans="1:3" ht="65.45" customHeight="1" thickBot="1" x14ac:dyDescent="0.3">
      <c r="A130" s="352" t="s">
        <v>0</v>
      </c>
      <c r="B130" s="353"/>
      <c r="C130" s="353"/>
    </row>
    <row r="131" spans="1:3" ht="16.5" thickBot="1" x14ac:dyDescent="0.3">
      <c r="A131" s="138" t="s">
        <v>1</v>
      </c>
      <c r="B131" s="58" t="s">
        <v>2</v>
      </c>
      <c r="C131" s="59"/>
    </row>
    <row r="132" spans="1:3" ht="32.25" thickBot="1" x14ac:dyDescent="0.3">
      <c r="A132" s="139" t="s">
        <v>3</v>
      </c>
      <c r="B132" s="354" t="s">
        <v>4</v>
      </c>
      <c r="C132" s="355"/>
    </row>
    <row r="133" spans="1:3" ht="16.5" thickBot="1" x14ac:dyDescent="0.3">
      <c r="A133" s="138" t="s">
        <v>5</v>
      </c>
      <c r="B133" s="58" t="s">
        <v>6</v>
      </c>
      <c r="C133" s="59"/>
    </row>
    <row r="134" spans="1:3" ht="16.5" thickBot="1" x14ac:dyDescent="0.3">
      <c r="A134" s="138" t="s">
        <v>7</v>
      </c>
      <c r="B134" s="58" t="s">
        <v>8</v>
      </c>
      <c r="C134" s="60"/>
    </row>
    <row r="135" spans="1:3" x14ac:dyDescent="0.25">
      <c r="A135" s="140"/>
      <c r="B135" s="141"/>
      <c r="C135" s="141"/>
    </row>
    <row r="136" spans="1:3" x14ac:dyDescent="0.25">
      <c r="A136" s="346" t="s">
        <v>94</v>
      </c>
      <c r="B136" s="347"/>
      <c r="C136" s="347"/>
    </row>
    <row r="137" spans="1:3" ht="28.15" customHeight="1" thickBot="1" x14ac:dyDescent="0.3">
      <c r="A137" s="348" t="s">
        <v>10</v>
      </c>
      <c r="B137" s="349"/>
      <c r="C137" s="349"/>
    </row>
    <row r="138" spans="1:3" ht="36.6" customHeight="1" thickBot="1" x14ac:dyDescent="0.3">
      <c r="A138" s="350" t="s">
        <v>11</v>
      </c>
      <c r="B138" s="351"/>
      <c r="C138" s="126" t="s">
        <v>12</v>
      </c>
    </row>
    <row r="139" spans="1:3" ht="15.75" thickBot="1" x14ac:dyDescent="0.3">
      <c r="A139" s="336" t="s">
        <v>13</v>
      </c>
      <c r="B139" s="337"/>
      <c r="C139" s="61" t="s">
        <v>95</v>
      </c>
    </row>
    <row r="140" spans="1:3" ht="24.75" thickBot="1" x14ac:dyDescent="0.3">
      <c r="A140" s="336" t="s">
        <v>15</v>
      </c>
      <c r="B140" s="337"/>
      <c r="C140" s="61" t="s">
        <v>96</v>
      </c>
    </row>
    <row r="141" spans="1:3" ht="36.75" thickBot="1" x14ac:dyDescent="0.3">
      <c r="A141" s="336" t="s">
        <v>17</v>
      </c>
      <c r="B141" s="337"/>
      <c r="C141" s="61" t="s">
        <v>97</v>
      </c>
    </row>
    <row r="142" spans="1:3" ht="30" customHeight="1" thickBot="1" x14ac:dyDescent="0.3">
      <c r="A142" s="336" t="s">
        <v>19</v>
      </c>
      <c r="B142" s="337"/>
      <c r="C142" s="61" t="s">
        <v>98</v>
      </c>
    </row>
    <row r="143" spans="1:3" ht="15.75" thickBot="1" x14ac:dyDescent="0.3">
      <c r="A143" s="336" t="s">
        <v>21</v>
      </c>
      <c r="B143" s="337"/>
      <c r="C143" s="61" t="s">
        <v>66</v>
      </c>
    </row>
    <row r="144" spans="1:3" ht="36.75" thickBot="1" x14ac:dyDescent="0.3">
      <c r="A144" s="336" t="s">
        <v>23</v>
      </c>
      <c r="B144" s="337"/>
      <c r="C144" s="61" t="s">
        <v>99</v>
      </c>
    </row>
    <row r="145" spans="1:3" ht="15.75" thickBot="1" x14ac:dyDescent="0.3">
      <c r="A145" s="344" t="s">
        <v>25</v>
      </c>
      <c r="B145" s="272" t="s">
        <v>26</v>
      </c>
      <c r="C145" s="61"/>
    </row>
    <row r="146" spans="1:3" ht="24.75" thickBot="1" x14ac:dyDescent="0.3">
      <c r="A146" s="345"/>
      <c r="B146" s="272" t="s">
        <v>27</v>
      </c>
      <c r="C146" s="61" t="s">
        <v>100</v>
      </c>
    </row>
    <row r="147" spans="1:3" ht="15.75" thickBot="1" x14ac:dyDescent="0.3">
      <c r="A147" s="336" t="s">
        <v>29</v>
      </c>
      <c r="B147" s="337"/>
      <c r="C147" s="61">
        <v>0</v>
      </c>
    </row>
    <row r="148" spans="1:3" ht="24.75" thickBot="1" x14ac:dyDescent="0.3">
      <c r="A148" s="336" t="s">
        <v>31</v>
      </c>
      <c r="B148" s="337"/>
      <c r="C148" s="61" t="s">
        <v>101</v>
      </c>
    </row>
    <row r="149" spans="1:3" ht="15.75" thickBot="1" x14ac:dyDescent="0.3">
      <c r="A149" s="336" t="s">
        <v>33</v>
      </c>
      <c r="B149" s="337"/>
      <c r="C149" s="61" t="s">
        <v>34</v>
      </c>
    </row>
    <row r="150" spans="1:3" ht="36.75" thickBot="1" x14ac:dyDescent="0.3">
      <c r="A150" s="336" t="s">
        <v>35</v>
      </c>
      <c r="B150" s="337"/>
      <c r="C150" s="62" t="s">
        <v>102</v>
      </c>
    </row>
    <row r="151" spans="1:3" x14ac:dyDescent="0.25">
      <c r="A151" s="338" t="s">
        <v>37</v>
      </c>
      <c r="B151" s="339"/>
      <c r="C151" s="63" t="s">
        <v>56</v>
      </c>
    </row>
    <row r="152" spans="1:3" x14ac:dyDescent="0.25">
      <c r="A152" s="340"/>
      <c r="B152" s="341"/>
      <c r="C152" s="63" t="s">
        <v>39</v>
      </c>
    </row>
    <row r="153" spans="1:3" ht="15.75" thickBot="1" x14ac:dyDescent="0.3">
      <c r="A153" s="342"/>
      <c r="B153" s="343"/>
      <c r="C153" s="61" t="s">
        <v>40</v>
      </c>
    </row>
    <row r="154" spans="1:3" ht="65.45" customHeight="1" thickBot="1" x14ac:dyDescent="0.3">
      <c r="A154" s="336" t="s">
        <v>41</v>
      </c>
      <c r="B154" s="337"/>
      <c r="C154" s="61" t="s">
        <v>103</v>
      </c>
    </row>
    <row r="155" spans="1:3" ht="36.75" thickBot="1" x14ac:dyDescent="0.3">
      <c r="A155" s="336" t="s">
        <v>43</v>
      </c>
      <c r="B155" s="337"/>
      <c r="C155" s="61" t="s">
        <v>93</v>
      </c>
    </row>
    <row r="156" spans="1:3" ht="57.6" customHeight="1" thickBot="1" x14ac:dyDescent="0.3">
      <c r="A156" s="352" t="s">
        <v>0</v>
      </c>
      <c r="B156" s="353"/>
      <c r="C156" s="353"/>
    </row>
    <row r="157" spans="1:3" ht="16.5" thickBot="1" x14ac:dyDescent="0.3">
      <c r="A157" s="138" t="s">
        <v>1</v>
      </c>
      <c r="B157" s="58" t="s">
        <v>2</v>
      </c>
      <c r="C157" s="59"/>
    </row>
    <row r="158" spans="1:3" ht="32.25" thickBot="1" x14ac:dyDescent="0.3">
      <c r="A158" s="139" t="s">
        <v>3</v>
      </c>
      <c r="B158" s="354" t="s">
        <v>4</v>
      </c>
      <c r="C158" s="355"/>
    </row>
    <row r="159" spans="1:3" ht="16.5" thickBot="1" x14ac:dyDescent="0.3">
      <c r="A159" s="138" t="s">
        <v>5</v>
      </c>
      <c r="B159" s="58" t="s">
        <v>6</v>
      </c>
      <c r="C159" s="59"/>
    </row>
    <row r="160" spans="1:3" ht="16.5" thickBot="1" x14ac:dyDescent="0.3">
      <c r="A160" s="138" t="s">
        <v>7</v>
      </c>
      <c r="B160" s="58" t="s">
        <v>8</v>
      </c>
      <c r="C160" s="60"/>
    </row>
    <row r="161" spans="1:3" x14ac:dyDescent="0.25">
      <c r="A161" s="140"/>
      <c r="B161" s="141"/>
      <c r="C161" s="141"/>
    </row>
    <row r="162" spans="1:3" x14ac:dyDescent="0.25">
      <c r="A162" s="346" t="s">
        <v>104</v>
      </c>
      <c r="B162" s="347"/>
      <c r="C162" s="347"/>
    </row>
    <row r="163" spans="1:3" ht="34.15" customHeight="1" thickBot="1" x14ac:dyDescent="0.3">
      <c r="A163" s="348" t="s">
        <v>10</v>
      </c>
      <c r="B163" s="349"/>
      <c r="C163" s="349"/>
    </row>
    <row r="164" spans="1:3" ht="15.75" thickBot="1" x14ac:dyDescent="0.3">
      <c r="A164" s="350" t="s">
        <v>11</v>
      </c>
      <c r="B164" s="351"/>
      <c r="C164" s="126" t="s">
        <v>12</v>
      </c>
    </row>
    <row r="165" spans="1:3" ht="24.75" thickBot="1" x14ac:dyDescent="0.3">
      <c r="A165" s="336" t="s">
        <v>13</v>
      </c>
      <c r="B165" s="337"/>
      <c r="C165" s="61" t="s">
        <v>105</v>
      </c>
    </row>
    <row r="166" spans="1:3" ht="34.15" customHeight="1" thickBot="1" x14ac:dyDescent="0.3">
      <c r="A166" s="336" t="s">
        <v>15</v>
      </c>
      <c r="B166" s="337"/>
      <c r="C166" s="61" t="s">
        <v>106</v>
      </c>
    </row>
    <row r="167" spans="1:3" ht="60.75" thickBot="1" x14ac:dyDescent="0.3">
      <c r="A167" s="336" t="s">
        <v>17</v>
      </c>
      <c r="B167" s="337"/>
      <c r="C167" s="61" t="s">
        <v>107</v>
      </c>
    </row>
    <row r="168" spans="1:3" ht="15.75" thickBot="1" x14ac:dyDescent="0.3">
      <c r="A168" s="336" t="s">
        <v>19</v>
      </c>
      <c r="B168" s="337"/>
      <c r="C168" s="61" t="s">
        <v>108</v>
      </c>
    </row>
    <row r="169" spans="1:3" ht="15.75" thickBot="1" x14ac:dyDescent="0.3">
      <c r="A169" s="336" t="s">
        <v>21</v>
      </c>
      <c r="B169" s="337"/>
      <c r="C169" s="61" t="s">
        <v>66</v>
      </c>
    </row>
    <row r="170" spans="1:3" ht="24.75" thickBot="1" x14ac:dyDescent="0.3">
      <c r="A170" s="336" t="s">
        <v>23</v>
      </c>
      <c r="B170" s="337"/>
      <c r="C170" s="61" t="s">
        <v>109</v>
      </c>
    </row>
    <row r="171" spans="1:3" ht="15.75" thickBot="1" x14ac:dyDescent="0.3">
      <c r="A171" s="344" t="s">
        <v>25</v>
      </c>
      <c r="B171" s="272" t="s">
        <v>26</v>
      </c>
      <c r="C171" s="61"/>
    </row>
    <row r="172" spans="1:3" ht="36.75" thickBot="1" x14ac:dyDescent="0.3">
      <c r="A172" s="345"/>
      <c r="B172" s="272" t="s">
        <v>27</v>
      </c>
      <c r="C172" s="61" t="s">
        <v>110</v>
      </c>
    </row>
    <row r="173" spans="1:3" ht="15.75" thickBot="1" x14ac:dyDescent="0.3">
      <c r="A173" s="336" t="s">
        <v>29</v>
      </c>
      <c r="B173" s="337"/>
      <c r="C173" s="61">
        <v>0</v>
      </c>
    </row>
    <row r="174" spans="1:3" ht="36.75" thickBot="1" x14ac:dyDescent="0.3">
      <c r="A174" s="336" t="s">
        <v>31</v>
      </c>
      <c r="B174" s="337"/>
      <c r="C174" s="61" t="s">
        <v>111</v>
      </c>
    </row>
    <row r="175" spans="1:3" ht="15.75" thickBot="1" x14ac:dyDescent="0.3">
      <c r="A175" s="336" t="s">
        <v>33</v>
      </c>
      <c r="B175" s="337"/>
      <c r="C175" s="61" t="s">
        <v>112</v>
      </c>
    </row>
    <row r="176" spans="1:3" ht="36.75" thickBot="1" x14ac:dyDescent="0.3">
      <c r="A176" s="336" t="s">
        <v>35</v>
      </c>
      <c r="B176" s="337"/>
      <c r="C176" s="62" t="s">
        <v>113</v>
      </c>
    </row>
    <row r="177" spans="1:3" x14ac:dyDescent="0.25">
      <c r="A177" s="338" t="s">
        <v>37</v>
      </c>
      <c r="B177" s="339"/>
      <c r="C177" s="63" t="s">
        <v>56</v>
      </c>
    </row>
    <row r="178" spans="1:3" x14ac:dyDescent="0.25">
      <c r="A178" s="340"/>
      <c r="B178" s="341"/>
      <c r="C178" s="63" t="s">
        <v>39</v>
      </c>
    </row>
    <row r="179" spans="1:3" ht="15.75" thickBot="1" x14ac:dyDescent="0.3">
      <c r="A179" s="342"/>
      <c r="B179" s="343"/>
      <c r="C179" s="61" t="s">
        <v>40</v>
      </c>
    </row>
    <row r="180" spans="1:3" ht="36.75" thickBot="1" x14ac:dyDescent="0.3">
      <c r="A180" s="336" t="s">
        <v>41</v>
      </c>
      <c r="B180" s="337"/>
      <c r="C180" s="61" t="s">
        <v>114</v>
      </c>
    </row>
    <row r="181" spans="1:3" ht="36.75" thickBot="1" x14ac:dyDescent="0.3">
      <c r="A181" s="336" t="s">
        <v>43</v>
      </c>
      <c r="B181" s="337"/>
      <c r="C181" s="61" t="s">
        <v>93</v>
      </c>
    </row>
  </sheetData>
  <mergeCells count="133">
    <mergeCell ref="A6:C6"/>
    <mergeCell ref="A7:C7"/>
    <mergeCell ref="A1:C1"/>
    <mergeCell ref="B3:C3"/>
    <mergeCell ref="A11:B11"/>
    <mergeCell ref="A12:B12"/>
    <mergeCell ref="A13:B13"/>
    <mergeCell ref="A14:B14"/>
    <mergeCell ref="A15:A16"/>
    <mergeCell ref="A17:B17"/>
    <mergeCell ref="A8:B8"/>
    <mergeCell ref="A9:B9"/>
    <mergeCell ref="A10:B10"/>
    <mergeCell ref="A32:C32"/>
    <mergeCell ref="A33:C33"/>
    <mergeCell ref="A34:B34"/>
    <mergeCell ref="A35:B35"/>
    <mergeCell ref="A36:B36"/>
    <mergeCell ref="A37:B37"/>
    <mergeCell ref="A18:B18"/>
    <mergeCell ref="A19:B19"/>
    <mergeCell ref="A20:B20"/>
    <mergeCell ref="A21:B23"/>
    <mergeCell ref="A24:B24"/>
    <mergeCell ref="A25:B25"/>
    <mergeCell ref="A26:C26"/>
    <mergeCell ref="B28:C28"/>
    <mergeCell ref="A45:B45"/>
    <mergeCell ref="A46:B46"/>
    <mergeCell ref="A47:B49"/>
    <mergeCell ref="A50:B50"/>
    <mergeCell ref="A51:B51"/>
    <mergeCell ref="A58:C58"/>
    <mergeCell ref="A38:B38"/>
    <mergeCell ref="A39:B39"/>
    <mergeCell ref="A40:B40"/>
    <mergeCell ref="A41:A42"/>
    <mergeCell ref="A43:B43"/>
    <mergeCell ref="A44:B44"/>
    <mergeCell ref="A52:C52"/>
    <mergeCell ref="B54:C54"/>
    <mergeCell ref="A65:B65"/>
    <mergeCell ref="A66:B66"/>
    <mergeCell ref="A67:A68"/>
    <mergeCell ref="A69:B69"/>
    <mergeCell ref="A70:B70"/>
    <mergeCell ref="A71:B71"/>
    <mergeCell ref="A59:C59"/>
    <mergeCell ref="A60:B60"/>
    <mergeCell ref="A61:B61"/>
    <mergeCell ref="A62:B62"/>
    <mergeCell ref="A63:B63"/>
    <mergeCell ref="A64:B64"/>
    <mergeCell ref="A86:B86"/>
    <mergeCell ref="A87:B87"/>
    <mergeCell ref="A88:B88"/>
    <mergeCell ref="A89:B89"/>
    <mergeCell ref="A90:B90"/>
    <mergeCell ref="A91:B91"/>
    <mergeCell ref="A72:B72"/>
    <mergeCell ref="A73:B75"/>
    <mergeCell ref="A76:B76"/>
    <mergeCell ref="A77:B77"/>
    <mergeCell ref="A84:C84"/>
    <mergeCell ref="A85:C85"/>
    <mergeCell ref="A78:C78"/>
    <mergeCell ref="B80:C80"/>
    <mergeCell ref="A99:B101"/>
    <mergeCell ref="A102:B102"/>
    <mergeCell ref="A103:B103"/>
    <mergeCell ref="A110:C110"/>
    <mergeCell ref="A111:C111"/>
    <mergeCell ref="A112:B112"/>
    <mergeCell ref="A92:B92"/>
    <mergeCell ref="A93:A94"/>
    <mergeCell ref="A95:B95"/>
    <mergeCell ref="A96:B96"/>
    <mergeCell ref="A97:B97"/>
    <mergeCell ref="A98:B98"/>
    <mergeCell ref="A104:C104"/>
    <mergeCell ref="B106:C106"/>
    <mergeCell ref="A119:A120"/>
    <mergeCell ref="A121:B121"/>
    <mergeCell ref="A122:B122"/>
    <mergeCell ref="A123:B123"/>
    <mergeCell ref="A124:B124"/>
    <mergeCell ref="A125:B127"/>
    <mergeCell ref="A113:B113"/>
    <mergeCell ref="A114:B114"/>
    <mergeCell ref="A115:B115"/>
    <mergeCell ref="A116:B116"/>
    <mergeCell ref="A117:B117"/>
    <mergeCell ref="A118:B118"/>
    <mergeCell ref="A140:B140"/>
    <mergeCell ref="A141:B141"/>
    <mergeCell ref="A142:B142"/>
    <mergeCell ref="A143:B143"/>
    <mergeCell ref="A144:B144"/>
    <mergeCell ref="A145:A146"/>
    <mergeCell ref="A128:B128"/>
    <mergeCell ref="A129:B129"/>
    <mergeCell ref="A136:C136"/>
    <mergeCell ref="A137:C137"/>
    <mergeCell ref="A138:B138"/>
    <mergeCell ref="A139:B139"/>
    <mergeCell ref="A130:C130"/>
    <mergeCell ref="B132:C132"/>
    <mergeCell ref="A155:B155"/>
    <mergeCell ref="A162:C162"/>
    <mergeCell ref="A163:C163"/>
    <mergeCell ref="A164:B164"/>
    <mergeCell ref="A165:B165"/>
    <mergeCell ref="A166:B166"/>
    <mergeCell ref="A147:B147"/>
    <mergeCell ref="A148:B148"/>
    <mergeCell ref="A149:B149"/>
    <mergeCell ref="A150:B150"/>
    <mergeCell ref="A151:B153"/>
    <mergeCell ref="A154:B154"/>
    <mergeCell ref="A156:C156"/>
    <mergeCell ref="B158:C158"/>
    <mergeCell ref="A174:B174"/>
    <mergeCell ref="A175:B175"/>
    <mergeCell ref="A176:B176"/>
    <mergeCell ref="A177:B179"/>
    <mergeCell ref="A180:B180"/>
    <mergeCell ref="A181:B181"/>
    <mergeCell ref="A167:B167"/>
    <mergeCell ref="A168:B168"/>
    <mergeCell ref="A169:B169"/>
    <mergeCell ref="A170:B170"/>
    <mergeCell ref="A171:A172"/>
    <mergeCell ref="A173:B173"/>
  </mergeCells>
  <pageMargins left="1" right="1" top="1" bottom="1" header="0.5" footer="0.5"/>
  <pageSetup scale="69" fitToHeight="0" orientation="portrait" r:id="rId1"/>
  <rowBreaks count="6" manualBreakCount="6">
    <brk id="25" max="16383" man="1"/>
    <brk id="51" max="16383" man="1"/>
    <brk id="77" max="16383" man="1"/>
    <brk id="103" max="16383" man="1"/>
    <brk id="129" max="16383" man="1"/>
    <brk id="15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A5CB-6CDF-448A-AFA9-87868C09B744}">
  <dimension ref="A1:AO464"/>
  <sheetViews>
    <sheetView tabSelected="1" view="pageBreakPreview" topLeftCell="AC8" zoomScale="75" zoomScaleNormal="50" zoomScaleSheetLayoutView="75" workbookViewId="0">
      <pane ySplit="9" topLeftCell="A32" activePane="bottomLeft" state="frozen"/>
      <selection activeCell="L8" sqref="L8"/>
      <selection pane="bottomLeft" activeCell="AN32" sqref="AN32"/>
    </sheetView>
  </sheetViews>
  <sheetFormatPr baseColWidth="10" defaultColWidth="11.42578125" defaultRowHeight="15" x14ac:dyDescent="0.25"/>
  <cols>
    <col min="1" max="1" width="24.28515625" style="1" hidden="1" customWidth="1"/>
    <col min="2" max="2" width="14.7109375" style="1" hidden="1" customWidth="1"/>
    <col min="3" max="3" width="20.85546875" style="1" hidden="1" customWidth="1"/>
    <col min="4" max="4" width="18.42578125" style="1" hidden="1" customWidth="1"/>
    <col min="5" max="6" width="18.7109375" style="1" hidden="1" customWidth="1"/>
    <col min="7" max="7" width="14.7109375" style="1" hidden="1" customWidth="1"/>
    <col min="8" max="8" width="15" style="1" hidden="1" customWidth="1"/>
    <col min="9" max="9" width="12.7109375" style="1" hidden="1" customWidth="1"/>
    <col min="10" max="10" width="15.140625" style="22" hidden="1" customWidth="1"/>
    <col min="11" max="11" width="14.7109375" style="1" hidden="1" customWidth="1"/>
    <col min="12" max="12" width="20.85546875" style="1" customWidth="1"/>
    <col min="13" max="13" width="18" style="1" customWidth="1"/>
    <col min="14" max="14" width="38.85546875" style="1" customWidth="1"/>
    <col min="15" max="15" width="11.7109375" style="23" customWidth="1"/>
    <col min="16" max="16" width="16.7109375" style="23" customWidth="1"/>
    <col min="17" max="17" width="13.42578125" style="15" customWidth="1"/>
    <col min="18" max="18" width="12.5703125" style="15" customWidth="1"/>
    <col min="19" max="19" width="27.7109375" style="15" customWidth="1"/>
    <col min="20" max="20" width="9.42578125" style="15" customWidth="1"/>
    <col min="21" max="21" width="11.42578125" style="15" customWidth="1"/>
    <col min="22" max="23" width="12.7109375" style="15" customWidth="1"/>
    <col min="24" max="24" width="11.140625" style="15" hidden="1" customWidth="1"/>
    <col min="25" max="25" width="12.5703125" style="15" hidden="1" customWidth="1"/>
    <col min="26" max="26" width="0.140625" style="15" customWidth="1"/>
    <col min="27" max="27" width="22.7109375" style="110" customWidth="1"/>
    <col min="28" max="28" width="21" style="15" customWidth="1"/>
    <col min="29" max="29" width="23.28515625" style="15" customWidth="1"/>
    <col min="30" max="30" width="18.28515625" style="15" customWidth="1"/>
    <col min="31" max="31" width="22.7109375" style="15" hidden="1" customWidth="1"/>
    <col min="32" max="32" width="13.85546875" style="15" customWidth="1"/>
    <col min="33" max="34" width="14" style="15" customWidth="1"/>
    <col min="35" max="35" width="23.5703125" style="1" customWidth="1"/>
    <col min="36" max="36" width="19.28515625" style="1" customWidth="1"/>
    <col min="37" max="37" width="20.85546875" style="1" customWidth="1"/>
    <col min="38" max="38" width="22.42578125" style="1" customWidth="1"/>
    <col min="39" max="39" width="19.85546875" style="1" customWidth="1"/>
    <col min="40" max="40" width="54.42578125" style="1" customWidth="1"/>
    <col min="41" max="41" width="31.28515625" style="1" customWidth="1"/>
    <col min="42" max="16384" width="11.42578125" style="1"/>
  </cols>
  <sheetData>
    <row r="1" spans="1:40" s="14" customFormat="1" ht="69" customHeight="1" x14ac:dyDescent="0.35">
      <c r="A1" s="376"/>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109"/>
      <c r="AB1" s="276"/>
      <c r="AC1" s="276"/>
      <c r="AD1" s="276"/>
      <c r="AE1" s="276"/>
      <c r="AF1" s="276"/>
      <c r="AG1" s="276"/>
      <c r="AH1" s="276"/>
    </row>
    <row r="2" spans="1:40" s="2" customFormat="1" ht="34.5" customHeight="1" thickBot="1" x14ac:dyDescent="0.4">
      <c r="A2" s="377" t="s">
        <v>115</v>
      </c>
      <c r="B2" s="377"/>
      <c r="C2" s="377"/>
      <c r="D2" s="377"/>
      <c r="E2" s="377"/>
      <c r="F2" s="377"/>
      <c r="G2" s="377"/>
      <c r="H2" s="377"/>
      <c r="I2" s="377"/>
      <c r="J2" s="377"/>
      <c r="K2" s="377"/>
      <c r="L2" s="377"/>
      <c r="M2" s="377"/>
      <c r="N2" s="377"/>
      <c r="O2" s="377"/>
      <c r="P2" s="377"/>
      <c r="Q2" s="377"/>
      <c r="R2" s="377"/>
      <c r="S2" s="377"/>
      <c r="T2" s="377"/>
      <c r="U2" s="377"/>
      <c r="V2" s="377"/>
      <c r="W2" s="377"/>
      <c r="X2" s="377"/>
      <c r="Y2" s="377"/>
      <c r="Z2" s="277"/>
      <c r="AA2" s="168"/>
      <c r="AB2" s="168"/>
      <c r="AC2" s="168"/>
      <c r="AD2" s="168"/>
      <c r="AE2" s="168"/>
      <c r="AF2" s="168"/>
      <c r="AG2" s="168"/>
      <c r="AH2" s="168"/>
      <c r="AI2" s="169"/>
      <c r="AJ2" s="169"/>
      <c r="AK2" s="169"/>
      <c r="AL2" s="169"/>
      <c r="AM2" s="169"/>
      <c r="AN2" s="169"/>
    </row>
    <row r="3" spans="1:40" s="3" customFormat="1" ht="24.75" customHeight="1" thickBot="1" x14ac:dyDescent="0.25">
      <c r="A3" s="378" t="s">
        <v>116</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80"/>
    </row>
    <row r="4" spans="1:40" s="4" customFormat="1" ht="24.95" customHeight="1" thickBot="1" x14ac:dyDescent="0.3">
      <c r="A4" s="378" t="s">
        <v>117</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80"/>
    </row>
    <row r="5" spans="1:40" s="3" customFormat="1" ht="24.95" customHeight="1" thickBot="1" x14ac:dyDescent="0.25">
      <c r="A5" s="381" t="s">
        <v>118</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3"/>
    </row>
    <row r="6" spans="1:40" s="3" customFormat="1" ht="24.95" customHeight="1" thickBot="1" x14ac:dyDescent="0.25">
      <c r="A6" s="374" t="s">
        <v>119</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row>
    <row r="7" spans="1:40" s="3" customFormat="1" ht="40.5" customHeight="1" thickBot="1" x14ac:dyDescent="0.3">
      <c r="A7" s="399" t="s">
        <v>120</v>
      </c>
      <c r="B7" s="400"/>
      <c r="C7" s="400"/>
      <c r="D7" s="400"/>
      <c r="E7" s="400"/>
      <c r="F7" s="400"/>
      <c r="G7" s="400"/>
      <c r="H7" s="400"/>
      <c r="I7" s="400"/>
      <c r="J7" s="400"/>
      <c r="K7" s="400"/>
      <c r="L7" s="400"/>
      <c r="M7" s="400"/>
      <c r="N7" s="400"/>
      <c r="O7" s="400"/>
      <c r="P7" s="400"/>
      <c r="Q7" s="400"/>
      <c r="R7" s="400"/>
      <c r="S7" s="400"/>
      <c r="T7" s="400"/>
      <c r="U7" s="400"/>
      <c r="V7" s="400"/>
      <c r="W7" s="400"/>
      <c r="X7" s="400"/>
      <c r="Y7" s="401"/>
      <c r="Z7" s="170"/>
      <c r="AA7" s="171"/>
      <c r="AB7" s="171"/>
      <c r="AC7" s="171"/>
      <c r="AD7" s="171"/>
      <c r="AE7" s="171"/>
      <c r="AF7" s="171"/>
      <c r="AG7" s="171"/>
      <c r="AH7" s="171"/>
      <c r="AI7" s="172"/>
      <c r="AJ7" s="172"/>
      <c r="AK7" s="172"/>
      <c r="AL7" s="172"/>
      <c r="AM7" s="172"/>
      <c r="AN7" s="173"/>
    </row>
    <row r="9" spans="1:40" ht="15.75" thickBot="1" x14ac:dyDescent="0.3">
      <c r="A9" s="22"/>
      <c r="B9" s="22"/>
      <c r="C9" s="22"/>
      <c r="D9" s="22"/>
      <c r="E9" s="22"/>
      <c r="F9" s="22"/>
      <c r="G9" s="22"/>
      <c r="H9" s="22"/>
      <c r="I9" s="22"/>
      <c r="K9" s="22"/>
      <c r="L9" s="22"/>
      <c r="M9" s="22"/>
      <c r="N9" s="22"/>
      <c r="Q9" s="23"/>
      <c r="R9" s="23"/>
      <c r="S9" s="23"/>
      <c r="T9" s="23"/>
      <c r="U9" s="23"/>
      <c r="V9" s="23"/>
      <c r="W9" s="23"/>
      <c r="X9" s="23"/>
      <c r="Y9" s="23"/>
      <c r="Z9" s="23"/>
      <c r="AB9" s="23"/>
      <c r="AC9" s="23"/>
      <c r="AD9" s="23"/>
      <c r="AE9" s="23"/>
      <c r="AF9" s="23"/>
      <c r="AG9" s="23"/>
      <c r="AH9" s="23"/>
      <c r="AI9" s="22"/>
      <c r="AJ9" s="22"/>
      <c r="AK9" s="22"/>
      <c r="AL9" s="22"/>
      <c r="AM9" s="22"/>
      <c r="AN9" s="22"/>
    </row>
    <row r="10" spans="1:40" s="3" customFormat="1" ht="42.6" customHeight="1" thickTop="1" x14ac:dyDescent="0.2">
      <c r="A10" s="402" t="s">
        <v>121</v>
      </c>
      <c r="B10" s="402"/>
      <c r="C10" s="402"/>
      <c r="D10" s="402"/>
      <c r="E10" s="402"/>
      <c r="F10" s="402"/>
      <c r="G10" s="402"/>
      <c r="H10" s="402"/>
      <c r="I10" s="402"/>
      <c r="J10" s="402"/>
      <c r="K10" s="402"/>
      <c r="L10" s="404" t="s">
        <v>122</v>
      </c>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row>
    <row r="11" spans="1:40" ht="15.75" customHeight="1" thickBot="1" x14ac:dyDescent="0.3">
      <c r="A11" s="403"/>
      <c r="B11" s="403"/>
      <c r="C11" s="403"/>
      <c r="D11" s="403"/>
      <c r="E11" s="403"/>
      <c r="F11" s="403"/>
      <c r="G11" s="403"/>
      <c r="H11" s="403"/>
      <c r="I11" s="403"/>
      <c r="J11" s="403"/>
      <c r="K11" s="403"/>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row>
    <row r="12" spans="1:40" s="167" customFormat="1" ht="31.5" customHeight="1" thickTop="1" thickBot="1" x14ac:dyDescent="0.25">
      <c r="A12" s="372" t="s">
        <v>123</v>
      </c>
      <c r="B12" s="392" t="s">
        <v>124</v>
      </c>
      <c r="C12" s="372" t="s">
        <v>125</v>
      </c>
      <c r="D12" s="372" t="s">
        <v>126</v>
      </c>
      <c r="E12" s="372" t="s">
        <v>127</v>
      </c>
      <c r="F12" s="372" t="s">
        <v>128</v>
      </c>
      <c r="G12" s="372" t="s">
        <v>129</v>
      </c>
      <c r="H12" s="372" t="s">
        <v>130</v>
      </c>
      <c r="I12" s="372" t="s">
        <v>131</v>
      </c>
      <c r="J12" s="384" t="s">
        <v>132</v>
      </c>
      <c r="K12" s="372" t="s">
        <v>133</v>
      </c>
      <c r="L12" s="372" t="s">
        <v>134</v>
      </c>
      <c r="M12" s="372" t="s">
        <v>135</v>
      </c>
      <c r="N12" s="387" t="s">
        <v>136</v>
      </c>
      <c r="O12" s="388"/>
      <c r="P12" s="387" t="s">
        <v>137</v>
      </c>
      <c r="Q12" s="388"/>
      <c r="R12" s="388"/>
      <c r="S12" s="372" t="s">
        <v>138</v>
      </c>
      <c r="T12" s="372" t="s">
        <v>139</v>
      </c>
      <c r="U12" s="390" t="s">
        <v>140</v>
      </c>
      <c r="V12" s="391"/>
      <c r="W12" s="391"/>
      <c r="X12" s="391"/>
      <c r="Y12" s="391"/>
      <c r="Z12" s="392"/>
      <c r="AA12" s="390" t="s">
        <v>141</v>
      </c>
      <c r="AB12" s="391"/>
      <c r="AC12" s="391"/>
      <c r="AD12" s="391"/>
      <c r="AE12" s="391"/>
      <c r="AF12" s="390" t="s">
        <v>142</v>
      </c>
      <c r="AG12" s="392"/>
      <c r="AH12" s="372" t="s">
        <v>143</v>
      </c>
      <c r="AI12" s="390" t="s">
        <v>144</v>
      </c>
      <c r="AJ12" s="392"/>
      <c r="AK12" s="372" t="s">
        <v>145</v>
      </c>
      <c r="AL12" s="390" t="s">
        <v>141</v>
      </c>
      <c r="AM12" s="392"/>
      <c r="AN12" s="372" t="s">
        <v>146</v>
      </c>
    </row>
    <row r="13" spans="1:40" s="167" customFormat="1" ht="35.450000000000003" customHeight="1" thickTop="1" thickBot="1" x14ac:dyDescent="0.25">
      <c r="A13" s="373"/>
      <c r="B13" s="395"/>
      <c r="C13" s="373"/>
      <c r="D13" s="373"/>
      <c r="E13" s="373"/>
      <c r="F13" s="373"/>
      <c r="G13" s="373"/>
      <c r="H13" s="373"/>
      <c r="I13" s="373"/>
      <c r="J13" s="385"/>
      <c r="K13" s="373"/>
      <c r="L13" s="373"/>
      <c r="M13" s="373"/>
      <c r="N13" s="373" t="s">
        <v>147</v>
      </c>
      <c r="O13" s="389" t="s">
        <v>148</v>
      </c>
      <c r="P13" s="372" t="s">
        <v>149</v>
      </c>
      <c r="Q13" s="406" t="s">
        <v>148</v>
      </c>
      <c r="R13" s="407"/>
      <c r="S13" s="373"/>
      <c r="T13" s="373"/>
      <c r="U13" s="393"/>
      <c r="V13" s="394"/>
      <c r="W13" s="394"/>
      <c r="X13" s="394"/>
      <c r="Y13" s="394"/>
      <c r="Z13" s="395"/>
      <c r="AA13" s="396"/>
      <c r="AB13" s="397"/>
      <c r="AC13" s="397"/>
      <c r="AD13" s="397"/>
      <c r="AE13" s="397"/>
      <c r="AF13" s="393"/>
      <c r="AG13" s="395"/>
      <c r="AH13" s="373"/>
      <c r="AI13" s="393"/>
      <c r="AJ13" s="395"/>
      <c r="AK13" s="373"/>
      <c r="AL13" s="396"/>
      <c r="AM13" s="398"/>
      <c r="AN13" s="373"/>
    </row>
    <row r="14" spans="1:40" s="167" customFormat="1" ht="16.149999999999999" customHeight="1" thickTop="1" thickBot="1" x14ac:dyDescent="0.25">
      <c r="A14" s="373"/>
      <c r="B14" s="395"/>
      <c r="C14" s="373"/>
      <c r="D14" s="373"/>
      <c r="E14" s="373"/>
      <c r="F14" s="373"/>
      <c r="G14" s="373"/>
      <c r="H14" s="373"/>
      <c r="I14" s="373"/>
      <c r="J14" s="385"/>
      <c r="K14" s="373"/>
      <c r="L14" s="373"/>
      <c r="M14" s="373"/>
      <c r="N14" s="373"/>
      <c r="O14" s="389"/>
      <c r="P14" s="373"/>
      <c r="Q14" s="373" t="s">
        <v>150</v>
      </c>
      <c r="R14" s="393" t="s">
        <v>151</v>
      </c>
      <c r="S14" s="373"/>
      <c r="T14" s="373"/>
      <c r="U14" s="396"/>
      <c r="V14" s="397"/>
      <c r="W14" s="397"/>
      <c r="X14" s="397"/>
      <c r="Y14" s="397"/>
      <c r="Z14" s="398"/>
      <c r="AA14" s="372" t="s">
        <v>152</v>
      </c>
      <c r="AB14" s="372" t="s">
        <v>153</v>
      </c>
      <c r="AC14" s="372" t="s">
        <v>154</v>
      </c>
      <c r="AD14" s="372" t="s">
        <v>155</v>
      </c>
      <c r="AE14" s="372" t="s">
        <v>156</v>
      </c>
      <c r="AF14" s="372" t="s">
        <v>157</v>
      </c>
      <c r="AG14" s="372" t="s">
        <v>158</v>
      </c>
      <c r="AH14" s="373"/>
      <c r="AI14" s="372" t="s">
        <v>159</v>
      </c>
      <c r="AJ14" s="372" t="s">
        <v>160</v>
      </c>
      <c r="AK14" s="373"/>
      <c r="AL14" s="372" t="s">
        <v>152</v>
      </c>
      <c r="AM14" s="373" t="s">
        <v>156</v>
      </c>
      <c r="AN14" s="373"/>
    </row>
    <row r="15" spans="1:40" s="167" customFormat="1" ht="42" customHeight="1" thickTop="1" thickBot="1" x14ac:dyDescent="0.25">
      <c r="A15" s="373"/>
      <c r="B15" s="395"/>
      <c r="C15" s="373"/>
      <c r="D15" s="373"/>
      <c r="E15" s="373"/>
      <c r="F15" s="373"/>
      <c r="G15" s="373"/>
      <c r="H15" s="373"/>
      <c r="I15" s="373"/>
      <c r="J15" s="385"/>
      <c r="K15" s="373"/>
      <c r="L15" s="373"/>
      <c r="M15" s="373"/>
      <c r="N15" s="373"/>
      <c r="O15" s="389"/>
      <c r="P15" s="373"/>
      <c r="Q15" s="373"/>
      <c r="R15" s="393"/>
      <c r="S15" s="373"/>
      <c r="T15" s="373"/>
      <c r="U15" s="274" t="s">
        <v>161</v>
      </c>
      <c r="V15" s="274" t="s">
        <v>162</v>
      </c>
      <c r="W15" s="274" t="s">
        <v>163</v>
      </c>
      <c r="X15" s="390" t="s">
        <v>164</v>
      </c>
      <c r="Y15" s="391"/>
      <c r="Z15" s="392"/>
      <c r="AA15" s="373"/>
      <c r="AB15" s="373"/>
      <c r="AC15" s="373"/>
      <c r="AD15" s="373"/>
      <c r="AE15" s="373"/>
      <c r="AF15" s="373"/>
      <c r="AG15" s="373"/>
      <c r="AH15" s="373"/>
      <c r="AI15" s="373"/>
      <c r="AJ15" s="373"/>
      <c r="AK15" s="373"/>
      <c r="AL15" s="408"/>
      <c r="AM15" s="409" t="s">
        <v>165</v>
      </c>
      <c r="AN15" s="373"/>
    </row>
    <row r="16" spans="1:40" s="22" customFormat="1" ht="45.6" hidden="1" customHeight="1" thickTop="1" thickBot="1" x14ac:dyDescent="0.3">
      <c r="A16" s="117"/>
      <c r="B16" s="118"/>
      <c r="C16" s="119"/>
      <c r="D16" s="119"/>
      <c r="E16" s="119"/>
      <c r="F16" s="119"/>
      <c r="G16" s="119"/>
      <c r="H16" s="119"/>
      <c r="I16" s="119"/>
      <c r="J16" s="386"/>
      <c r="K16" s="119"/>
      <c r="L16" s="119"/>
      <c r="M16" s="119"/>
      <c r="N16" s="119"/>
      <c r="O16" s="120"/>
      <c r="P16" s="119"/>
      <c r="Q16" s="119"/>
      <c r="R16" s="119"/>
      <c r="S16" s="119"/>
      <c r="T16" s="119"/>
      <c r="U16" s="121"/>
      <c r="V16" s="121"/>
      <c r="W16" s="121"/>
      <c r="X16" s="121"/>
      <c r="Y16" s="122"/>
      <c r="Z16" s="122"/>
      <c r="AA16" s="119"/>
      <c r="AB16" s="119"/>
      <c r="AC16" s="119"/>
      <c r="AD16" s="119"/>
      <c r="AE16" s="119"/>
      <c r="AF16" s="119"/>
      <c r="AG16" s="119"/>
      <c r="AH16" s="119"/>
      <c r="AI16" s="119"/>
      <c r="AJ16" s="119"/>
      <c r="AK16" s="119"/>
      <c r="AL16" s="123"/>
      <c r="AM16" s="124"/>
      <c r="AN16" s="119"/>
    </row>
    <row r="17" spans="1:40" s="22" customFormat="1" ht="16.899999999999999" customHeight="1" thickTop="1" thickBot="1" x14ac:dyDescent="0.3">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row>
    <row r="18" spans="1:40" s="22" customFormat="1" ht="22.15" customHeight="1" thickTop="1" thickBot="1" x14ac:dyDescent="0.3">
      <c r="A18" s="366" t="s">
        <v>166</v>
      </c>
      <c r="B18" s="367"/>
      <c r="C18" s="367"/>
      <c r="D18" s="367"/>
      <c r="E18" s="367"/>
      <c r="F18" s="367"/>
      <c r="G18" s="367"/>
      <c r="H18" s="367"/>
      <c r="I18" s="367"/>
      <c r="J18" s="367"/>
      <c r="K18" s="367"/>
      <c r="L18" s="367"/>
      <c r="M18" s="367"/>
      <c r="N18" s="367"/>
      <c r="O18" s="367"/>
      <c r="P18" s="367"/>
      <c r="Q18" s="367"/>
      <c r="R18" s="367"/>
      <c r="S18" s="367"/>
      <c r="T18" s="367"/>
      <c r="U18" s="367"/>
      <c r="V18" s="367"/>
      <c r="W18" s="368"/>
      <c r="X18" s="57"/>
      <c r="Y18" s="57"/>
      <c r="Z18" s="57"/>
      <c r="AA18" s="215">
        <f>+AA19</f>
        <v>59811254.450000003</v>
      </c>
      <c r="AB18" s="215">
        <f>+AB19</f>
        <v>3000000</v>
      </c>
      <c r="AC18" s="230">
        <f t="shared" ref="AC18:AC23" si="0">+AA18+AB18</f>
        <v>62811254.450000003</v>
      </c>
      <c r="AD18" s="57"/>
      <c r="AE18" s="57"/>
      <c r="AF18" s="57"/>
      <c r="AG18" s="57"/>
      <c r="AH18" s="57"/>
      <c r="AI18" s="228">
        <f>+AI19</f>
        <v>11007151.119999999</v>
      </c>
      <c r="AJ18" s="228">
        <f t="shared" ref="AJ18:AK18" si="1">+AJ19</f>
        <v>0</v>
      </c>
      <c r="AK18" s="287">
        <f t="shared" si="1"/>
        <v>11007151.119999999</v>
      </c>
      <c r="AL18" s="288"/>
      <c r="AM18" s="57"/>
      <c r="AN18" s="57"/>
    </row>
    <row r="19" spans="1:40" ht="126.6" customHeight="1" x14ac:dyDescent="0.25">
      <c r="A19" s="32" t="s">
        <v>167</v>
      </c>
      <c r="B19" s="33" t="s">
        <v>168</v>
      </c>
      <c r="C19" s="24" t="s">
        <v>169</v>
      </c>
      <c r="D19" s="24" t="s">
        <v>170</v>
      </c>
      <c r="E19" s="24" t="s">
        <v>171</v>
      </c>
      <c r="F19" s="34" t="s">
        <v>172</v>
      </c>
      <c r="G19" s="35" t="s">
        <v>173</v>
      </c>
      <c r="H19" s="36" t="s">
        <v>174</v>
      </c>
      <c r="I19" s="36" t="s">
        <v>175</v>
      </c>
      <c r="J19" s="36" t="s">
        <v>176</v>
      </c>
      <c r="K19" s="36" t="s">
        <v>177</v>
      </c>
      <c r="L19" s="36" t="s">
        <v>178</v>
      </c>
      <c r="M19" s="36" t="s">
        <v>179</v>
      </c>
      <c r="N19" s="36" t="s">
        <v>180</v>
      </c>
      <c r="O19" s="127">
        <v>1</v>
      </c>
      <c r="P19" s="36" t="s">
        <v>181</v>
      </c>
      <c r="Q19" s="36" t="s">
        <v>182</v>
      </c>
      <c r="R19" s="36" t="s">
        <v>182</v>
      </c>
      <c r="S19" s="36" t="s">
        <v>183</v>
      </c>
      <c r="T19" s="55">
        <v>100</v>
      </c>
      <c r="U19" s="36">
        <f>+W19+V19</f>
        <v>1</v>
      </c>
      <c r="V19" s="36">
        <v>0.5</v>
      </c>
      <c r="W19" s="36">
        <v>0.5</v>
      </c>
      <c r="X19" s="36"/>
      <c r="Y19" s="36"/>
      <c r="Z19" s="36">
        <v>0</v>
      </c>
      <c r="AA19" s="45">
        <v>59811254.450000003</v>
      </c>
      <c r="AB19" s="257">
        <v>3000000</v>
      </c>
      <c r="AC19" s="257">
        <f t="shared" si="0"/>
        <v>62811254.450000003</v>
      </c>
      <c r="AD19" s="43" t="s">
        <v>184</v>
      </c>
      <c r="AE19" s="36" t="s">
        <v>185</v>
      </c>
      <c r="AF19" s="271">
        <v>0.25</v>
      </c>
      <c r="AG19" s="38"/>
      <c r="AH19" s="47"/>
      <c r="AI19" s="209">
        <f>3288216.9+4540373.88+3178560.34</f>
        <v>11007151.119999999</v>
      </c>
      <c r="AJ19" s="34"/>
      <c r="AK19" s="289">
        <f>+AI19</f>
        <v>11007151.119999999</v>
      </c>
      <c r="AL19" s="290">
        <v>41600000</v>
      </c>
      <c r="AM19" s="38" t="s">
        <v>186</v>
      </c>
      <c r="AN19" s="259" t="s">
        <v>187</v>
      </c>
    </row>
    <row r="20" spans="1:40" ht="20.45" customHeight="1" x14ac:dyDescent="0.25">
      <c r="A20" s="366" t="s">
        <v>188</v>
      </c>
      <c r="B20" s="367"/>
      <c r="C20" s="367"/>
      <c r="D20" s="367"/>
      <c r="E20" s="367"/>
      <c r="F20" s="367"/>
      <c r="G20" s="367"/>
      <c r="H20" s="367"/>
      <c r="I20" s="367"/>
      <c r="J20" s="367"/>
      <c r="K20" s="367"/>
      <c r="L20" s="367"/>
      <c r="M20" s="367"/>
      <c r="N20" s="367"/>
      <c r="O20" s="367"/>
      <c r="P20" s="367"/>
      <c r="Q20" s="367"/>
      <c r="R20" s="367"/>
      <c r="S20" s="367"/>
      <c r="T20" s="367"/>
      <c r="U20" s="367"/>
      <c r="V20" s="367"/>
      <c r="W20" s="368"/>
      <c r="X20" s="279"/>
      <c r="Y20" s="279"/>
      <c r="Z20" s="279"/>
      <c r="AA20" s="111">
        <f>SUM(AA21)</f>
        <v>124152806.73</v>
      </c>
      <c r="AB20" s="111">
        <f>SUM(AB21)</f>
        <v>30000000</v>
      </c>
      <c r="AC20" s="229">
        <f t="shared" si="0"/>
        <v>154152806.73000002</v>
      </c>
      <c r="AD20" s="279"/>
      <c r="AE20" s="279"/>
      <c r="AF20" s="279"/>
      <c r="AG20" s="279"/>
      <c r="AH20" s="279"/>
      <c r="AI20" s="227">
        <f>SUM(AI21)</f>
        <v>21054406.219999999</v>
      </c>
      <c r="AJ20" s="227">
        <f t="shared" ref="AJ20:AK20" si="2">SUM(AJ21)</f>
        <v>0</v>
      </c>
      <c r="AK20" s="291">
        <f t="shared" si="2"/>
        <v>21054406.219999999</v>
      </c>
      <c r="AL20" s="292"/>
      <c r="AM20" s="279"/>
      <c r="AN20" s="279"/>
    </row>
    <row r="21" spans="1:40" ht="291.75" customHeight="1" x14ac:dyDescent="0.25">
      <c r="A21" s="32" t="s">
        <v>167</v>
      </c>
      <c r="B21" s="33" t="s">
        <v>168</v>
      </c>
      <c r="C21" s="24" t="s">
        <v>169</v>
      </c>
      <c r="D21" s="24" t="s">
        <v>170</v>
      </c>
      <c r="E21" s="24" t="s">
        <v>171</v>
      </c>
      <c r="F21" s="34" t="s">
        <v>172</v>
      </c>
      <c r="G21" s="35" t="s">
        <v>173</v>
      </c>
      <c r="H21" s="36" t="s">
        <v>174</v>
      </c>
      <c r="I21" s="36" t="s">
        <v>175</v>
      </c>
      <c r="J21" s="36" t="s">
        <v>176</v>
      </c>
      <c r="K21" s="24" t="s">
        <v>189</v>
      </c>
      <c r="L21" s="32" t="s">
        <v>190</v>
      </c>
      <c r="M21" s="32" t="s">
        <v>191</v>
      </c>
      <c r="N21" s="32" t="s">
        <v>192</v>
      </c>
      <c r="O21" s="38">
        <v>1</v>
      </c>
      <c r="P21" s="38" t="s">
        <v>193</v>
      </c>
      <c r="Q21" s="38">
        <v>50</v>
      </c>
      <c r="R21" s="38">
        <v>50</v>
      </c>
      <c r="S21" s="38" t="s">
        <v>194</v>
      </c>
      <c r="T21" s="38">
        <v>0</v>
      </c>
      <c r="U21" s="38">
        <v>32</v>
      </c>
      <c r="V21" s="38">
        <v>14</v>
      </c>
      <c r="W21" s="38">
        <v>18</v>
      </c>
      <c r="X21" s="38">
        <v>100</v>
      </c>
      <c r="Y21" s="38"/>
      <c r="Z21" s="38">
        <v>0</v>
      </c>
      <c r="AA21" s="43">
        <v>124152806.73</v>
      </c>
      <c r="AB21" s="270">
        <v>30000000</v>
      </c>
      <c r="AC21" s="270">
        <f t="shared" si="0"/>
        <v>154152806.73000002</v>
      </c>
      <c r="AD21" s="43" t="s">
        <v>195</v>
      </c>
      <c r="AE21" s="36" t="s">
        <v>185</v>
      </c>
      <c r="AF21" s="99">
        <v>0.25</v>
      </c>
      <c r="AG21" s="38"/>
      <c r="AH21" s="47">
        <v>0</v>
      </c>
      <c r="AI21" s="209">
        <f>6941864.1+8086428.69+6026113.43</f>
        <v>21054406.219999999</v>
      </c>
      <c r="AJ21" s="34"/>
      <c r="AK21" s="289">
        <f>+AI21+AJ21</f>
        <v>21054406.219999999</v>
      </c>
      <c r="AL21" s="290">
        <v>1300000</v>
      </c>
      <c r="AM21" s="38" t="s">
        <v>185</v>
      </c>
      <c r="AN21" s="259" t="s">
        <v>196</v>
      </c>
    </row>
    <row r="22" spans="1:40" s="22" customFormat="1" ht="23.45" customHeight="1" x14ac:dyDescent="0.25">
      <c r="A22" s="366" t="s">
        <v>197</v>
      </c>
      <c r="B22" s="367"/>
      <c r="C22" s="367"/>
      <c r="D22" s="367"/>
      <c r="E22" s="367"/>
      <c r="F22" s="367"/>
      <c r="G22" s="367"/>
      <c r="H22" s="367"/>
      <c r="I22" s="367"/>
      <c r="J22" s="367"/>
      <c r="K22" s="367"/>
      <c r="L22" s="367"/>
      <c r="M22" s="367"/>
      <c r="N22" s="367"/>
      <c r="O22" s="367"/>
      <c r="P22" s="367"/>
      <c r="Q22" s="367"/>
      <c r="R22" s="367"/>
      <c r="S22" s="367"/>
      <c r="T22" s="367"/>
      <c r="U22" s="367"/>
      <c r="V22" s="367"/>
      <c r="W22" s="368"/>
      <c r="X22" s="279"/>
      <c r="Y22" s="279"/>
      <c r="Z22" s="279"/>
      <c r="AA22" s="215">
        <f>SUM(AA23)</f>
        <v>21985347.300000001</v>
      </c>
      <c r="AB22" s="214"/>
      <c r="AC22" s="228">
        <f t="shared" si="0"/>
        <v>21985347.300000001</v>
      </c>
      <c r="AD22" s="279"/>
      <c r="AE22" s="279"/>
      <c r="AF22" s="279"/>
      <c r="AG22" s="279"/>
      <c r="AH22" s="279"/>
      <c r="AI22" s="279"/>
      <c r="AJ22" s="279"/>
      <c r="AK22" s="292"/>
      <c r="AL22" s="292"/>
      <c r="AM22" s="279"/>
      <c r="AN22" s="279"/>
    </row>
    <row r="23" spans="1:40" ht="100.5" customHeight="1" x14ac:dyDescent="0.25">
      <c r="A23" s="32" t="s">
        <v>167</v>
      </c>
      <c r="B23" s="33" t="s">
        <v>168</v>
      </c>
      <c r="C23" s="24" t="s">
        <v>169</v>
      </c>
      <c r="D23" s="24" t="s">
        <v>170</v>
      </c>
      <c r="E23" s="24" t="s">
        <v>171</v>
      </c>
      <c r="F23" s="34" t="s">
        <v>172</v>
      </c>
      <c r="G23" s="35" t="s">
        <v>173</v>
      </c>
      <c r="H23" s="36" t="s">
        <v>174</v>
      </c>
      <c r="I23" s="36" t="s">
        <v>175</v>
      </c>
      <c r="J23" s="36" t="s">
        <v>176</v>
      </c>
      <c r="K23" s="24" t="s">
        <v>198</v>
      </c>
      <c r="L23" s="32" t="s">
        <v>199</v>
      </c>
      <c r="M23" s="32" t="s">
        <v>200</v>
      </c>
      <c r="N23" s="32" t="s">
        <v>201</v>
      </c>
      <c r="O23" s="53">
        <v>1</v>
      </c>
      <c r="P23" s="38" t="s">
        <v>193</v>
      </c>
      <c r="Q23" s="38" t="s">
        <v>182</v>
      </c>
      <c r="R23" s="38" t="s">
        <v>182</v>
      </c>
      <c r="S23" s="37" t="s">
        <v>202</v>
      </c>
      <c r="T23" s="38">
        <v>0</v>
      </c>
      <c r="U23" s="37">
        <v>1</v>
      </c>
      <c r="V23" s="38">
        <v>50</v>
      </c>
      <c r="W23" s="38">
        <v>50</v>
      </c>
      <c r="X23" s="38"/>
      <c r="Y23" s="38"/>
      <c r="Z23" s="38">
        <v>0</v>
      </c>
      <c r="AA23" s="43">
        <v>21985347.300000001</v>
      </c>
      <c r="AB23" s="270">
        <v>0</v>
      </c>
      <c r="AC23" s="270">
        <f t="shared" si="0"/>
        <v>21985347.300000001</v>
      </c>
      <c r="AD23" s="43" t="s">
        <v>184</v>
      </c>
      <c r="AE23" s="36" t="s">
        <v>185</v>
      </c>
      <c r="AF23" s="99">
        <v>0</v>
      </c>
      <c r="AG23" s="38"/>
      <c r="AH23" s="47"/>
      <c r="AI23" s="47">
        <v>0</v>
      </c>
      <c r="AJ23" s="34"/>
      <c r="AK23" s="289">
        <f>+AI23+AJ23</f>
        <v>0</v>
      </c>
      <c r="AL23" s="290">
        <f>+AA23</f>
        <v>21985347.300000001</v>
      </c>
      <c r="AM23" s="38"/>
      <c r="AN23" s="268" t="s">
        <v>203</v>
      </c>
    </row>
    <row r="24" spans="1:40" s="22" customFormat="1" ht="21" customHeight="1" x14ac:dyDescent="0.25">
      <c r="A24" s="366" t="s">
        <v>204</v>
      </c>
      <c r="B24" s="367"/>
      <c r="C24" s="367"/>
      <c r="D24" s="367"/>
      <c r="E24" s="367"/>
      <c r="F24" s="367"/>
      <c r="G24" s="367"/>
      <c r="H24" s="367"/>
      <c r="I24" s="367"/>
      <c r="J24" s="367"/>
      <c r="K24" s="367"/>
      <c r="L24" s="367"/>
      <c r="M24" s="367"/>
      <c r="N24" s="367"/>
      <c r="O24" s="367"/>
      <c r="P24" s="367"/>
      <c r="Q24" s="367"/>
      <c r="R24" s="367"/>
      <c r="S24" s="367"/>
      <c r="T24" s="367"/>
      <c r="U24" s="367"/>
      <c r="V24" s="367"/>
      <c r="W24" s="368"/>
      <c r="X24" s="279"/>
      <c r="Y24" s="279"/>
      <c r="Z24" s="279"/>
      <c r="AA24" s="111">
        <f>SUM(AA25:AA27)</f>
        <v>353666002.84000003</v>
      </c>
      <c r="AB24" s="210">
        <f>SUM(AB25:AB27)</f>
        <v>28000000</v>
      </c>
      <c r="AC24" s="211">
        <f>SUM(AC25:AC27)</f>
        <v>381666002.84000003</v>
      </c>
      <c r="AD24" s="279"/>
      <c r="AE24" s="279"/>
      <c r="AF24" s="279"/>
      <c r="AG24" s="279"/>
      <c r="AH24" s="279"/>
      <c r="AI24" s="210">
        <f>SUM(AI25:AI27)</f>
        <v>38873668.609999999</v>
      </c>
      <c r="AJ24" s="210">
        <f>SUM(AJ25:AJ27)</f>
        <v>0</v>
      </c>
      <c r="AK24" s="293">
        <f>+AI24+AJ24</f>
        <v>38873668.609999999</v>
      </c>
      <c r="AL24" s="292"/>
      <c r="AM24" s="279"/>
      <c r="AN24" s="279"/>
    </row>
    <row r="25" spans="1:40" ht="154.5" customHeight="1" thickTop="1" thickBot="1" x14ac:dyDescent="0.3">
      <c r="A25" s="32" t="s">
        <v>167</v>
      </c>
      <c r="B25" s="33" t="s">
        <v>168</v>
      </c>
      <c r="C25" s="24" t="s">
        <v>169</v>
      </c>
      <c r="D25" s="24" t="s">
        <v>170</v>
      </c>
      <c r="E25" s="24" t="s">
        <v>171</v>
      </c>
      <c r="F25" s="34" t="s">
        <v>172</v>
      </c>
      <c r="G25" s="35" t="s">
        <v>173</v>
      </c>
      <c r="H25" s="36" t="s">
        <v>174</v>
      </c>
      <c r="I25" s="36" t="s">
        <v>175</v>
      </c>
      <c r="J25" s="36" t="s">
        <v>176</v>
      </c>
      <c r="K25" s="24" t="s">
        <v>198</v>
      </c>
      <c r="L25" s="32" t="s">
        <v>205</v>
      </c>
      <c r="M25" s="32" t="s">
        <v>206</v>
      </c>
      <c r="N25" s="32" t="s">
        <v>207</v>
      </c>
      <c r="O25" s="37">
        <v>1</v>
      </c>
      <c r="P25" s="32" t="s">
        <v>208</v>
      </c>
      <c r="Q25" s="38" t="s">
        <v>182</v>
      </c>
      <c r="R25" s="38" t="s">
        <v>182</v>
      </c>
      <c r="S25" s="38" t="s">
        <v>209</v>
      </c>
      <c r="T25" s="38" t="s">
        <v>182</v>
      </c>
      <c r="U25" s="38">
        <v>1</v>
      </c>
      <c r="V25" s="38">
        <v>0</v>
      </c>
      <c r="W25" s="38">
        <v>1</v>
      </c>
      <c r="X25" s="38">
        <v>0</v>
      </c>
      <c r="Y25" s="38">
        <v>0</v>
      </c>
      <c r="Z25" s="38">
        <v>0</v>
      </c>
      <c r="AA25" s="43">
        <f>20000000+30000000</f>
        <v>50000000</v>
      </c>
      <c r="AB25" s="36"/>
      <c r="AC25" s="45">
        <f>+AA25+AB25</f>
        <v>50000000</v>
      </c>
      <c r="AD25" s="36" t="s">
        <v>184</v>
      </c>
      <c r="AE25" s="36" t="s">
        <v>185</v>
      </c>
      <c r="AF25" s="36">
        <v>0.25</v>
      </c>
      <c r="AG25" s="36"/>
      <c r="AH25" s="36"/>
      <c r="AI25" s="36"/>
      <c r="AJ25" s="36"/>
      <c r="AK25" s="289">
        <f t="shared" ref="AK25:AK26" si="3">+AI25+AJ25</f>
        <v>0</v>
      </c>
      <c r="AL25" s="289">
        <v>120000000</v>
      </c>
      <c r="AM25" s="36" t="s">
        <v>185</v>
      </c>
      <c r="AN25" s="98" t="s">
        <v>210</v>
      </c>
    </row>
    <row r="26" spans="1:40" s="41" customFormat="1" ht="127.15" customHeight="1" thickTop="1" thickBot="1" x14ac:dyDescent="0.3">
      <c r="A26" s="32" t="s">
        <v>167</v>
      </c>
      <c r="B26" s="33" t="s">
        <v>168</v>
      </c>
      <c r="C26" s="24" t="s">
        <v>169</v>
      </c>
      <c r="D26" s="24" t="s">
        <v>170</v>
      </c>
      <c r="E26" s="24" t="s">
        <v>171</v>
      </c>
      <c r="F26" s="34" t="s">
        <v>172</v>
      </c>
      <c r="G26" s="35" t="s">
        <v>173</v>
      </c>
      <c r="H26" s="36" t="s">
        <v>174</v>
      </c>
      <c r="I26" s="36" t="s">
        <v>175</v>
      </c>
      <c r="J26" s="36" t="s">
        <v>176</v>
      </c>
      <c r="K26" s="24" t="s">
        <v>171</v>
      </c>
      <c r="L26" s="32" t="s">
        <v>211</v>
      </c>
      <c r="M26" s="32" t="s">
        <v>212</v>
      </c>
      <c r="N26" s="32" t="s">
        <v>213</v>
      </c>
      <c r="O26" s="37">
        <v>1</v>
      </c>
      <c r="P26" s="32" t="s">
        <v>208</v>
      </c>
      <c r="Q26" s="38" t="s">
        <v>182</v>
      </c>
      <c r="R26" s="38" t="s">
        <v>182</v>
      </c>
      <c r="S26" s="38" t="s">
        <v>214</v>
      </c>
      <c r="T26" s="38">
        <v>0</v>
      </c>
      <c r="U26" s="99">
        <v>1</v>
      </c>
      <c r="V26" s="99">
        <v>1</v>
      </c>
      <c r="W26" s="38">
        <f t="shared" ref="W26" si="4">+X26+Y26</f>
        <v>0</v>
      </c>
      <c r="X26" s="38">
        <v>0</v>
      </c>
      <c r="Y26" s="38">
        <v>0</v>
      </c>
      <c r="Z26" s="44">
        <v>110000000</v>
      </c>
      <c r="AA26" s="43">
        <v>110000000</v>
      </c>
      <c r="AB26" s="38">
        <v>0</v>
      </c>
      <c r="AC26" s="43">
        <f>+AA26+AB26</f>
        <v>110000000</v>
      </c>
      <c r="AD26" s="36" t="s">
        <v>184</v>
      </c>
      <c r="AE26" s="36" t="s">
        <v>185</v>
      </c>
      <c r="AF26" s="36">
        <v>0.25</v>
      </c>
      <c r="AG26" s="36"/>
      <c r="AH26" s="36"/>
      <c r="AI26" s="36"/>
      <c r="AJ26" s="36"/>
      <c r="AK26" s="289">
        <f t="shared" si="3"/>
        <v>0</v>
      </c>
      <c r="AL26" s="294">
        <f>+AJ26+AK26</f>
        <v>0</v>
      </c>
      <c r="AM26" s="36" t="s">
        <v>185</v>
      </c>
      <c r="AN26" s="49" t="s">
        <v>215</v>
      </c>
    </row>
    <row r="27" spans="1:40" ht="230.25" customHeight="1" thickTop="1" thickBot="1" x14ac:dyDescent="0.3">
      <c r="A27" s="145" t="s">
        <v>167</v>
      </c>
      <c r="B27" s="146" t="s">
        <v>168</v>
      </c>
      <c r="C27" s="147" t="s">
        <v>169</v>
      </c>
      <c r="D27" s="147" t="s">
        <v>170</v>
      </c>
      <c r="E27" s="147" t="s">
        <v>171</v>
      </c>
      <c r="F27" s="148" t="s">
        <v>172</v>
      </c>
      <c r="G27" s="149" t="s">
        <v>173</v>
      </c>
      <c r="H27" s="150" t="s">
        <v>174</v>
      </c>
      <c r="I27" s="150" t="s">
        <v>175</v>
      </c>
      <c r="J27" s="150" t="s">
        <v>176</v>
      </c>
      <c r="K27" s="147" t="s">
        <v>198</v>
      </c>
      <c r="L27" s="145" t="s">
        <v>205</v>
      </c>
      <c r="M27" s="145" t="s">
        <v>216</v>
      </c>
      <c r="N27" s="145" t="s">
        <v>217</v>
      </c>
      <c r="O27" s="151">
        <v>1</v>
      </c>
      <c r="P27" s="145" t="s">
        <v>218</v>
      </c>
      <c r="Q27" s="152" t="s">
        <v>182</v>
      </c>
      <c r="R27" s="152" t="s">
        <v>182</v>
      </c>
      <c r="S27" s="152" t="s">
        <v>202</v>
      </c>
      <c r="T27" s="152" t="s">
        <v>182</v>
      </c>
      <c r="U27" s="154">
        <v>1</v>
      </c>
      <c r="V27" s="154">
        <v>0.5</v>
      </c>
      <c r="W27" s="154">
        <v>0.5</v>
      </c>
      <c r="X27" s="38">
        <v>0</v>
      </c>
      <c r="Y27" s="38">
        <v>0</v>
      </c>
      <c r="Z27" s="38">
        <v>0</v>
      </c>
      <c r="AA27" s="43">
        <f>170966002.84+41000000+1700000-20000000</f>
        <v>193666002.84</v>
      </c>
      <c r="AB27" s="43">
        <v>28000000</v>
      </c>
      <c r="AC27" s="43">
        <f>+AA27+AB27</f>
        <v>221666002.84</v>
      </c>
      <c r="AD27" s="36" t="s">
        <v>184</v>
      </c>
      <c r="AE27" s="36" t="s">
        <v>185</v>
      </c>
      <c r="AF27" s="36">
        <v>0.25</v>
      </c>
      <c r="AG27" s="36"/>
      <c r="AH27" s="36"/>
      <c r="AI27" s="45">
        <f>17305971.15+12887727.47+8679969.99</f>
        <v>38873668.609999999</v>
      </c>
      <c r="AJ27" s="36"/>
      <c r="AK27" s="289">
        <f>+AI27+AJ27</f>
        <v>38873668.609999999</v>
      </c>
      <c r="AL27" s="289">
        <v>20000000</v>
      </c>
      <c r="AM27" s="36" t="s">
        <v>185</v>
      </c>
      <c r="AN27" s="266" t="s">
        <v>219</v>
      </c>
    </row>
    <row r="28" spans="1:40" s="217" customFormat="1" ht="18" customHeight="1" x14ac:dyDescent="0.25">
      <c r="A28" s="369" t="s">
        <v>220</v>
      </c>
      <c r="B28" s="370"/>
      <c r="C28" s="370"/>
      <c r="D28" s="370"/>
      <c r="E28" s="370"/>
      <c r="F28" s="370"/>
      <c r="G28" s="370"/>
      <c r="H28" s="370"/>
      <c r="I28" s="370"/>
      <c r="J28" s="370"/>
      <c r="K28" s="370"/>
      <c r="L28" s="370"/>
      <c r="M28" s="370"/>
      <c r="N28" s="370"/>
      <c r="O28" s="370"/>
      <c r="P28" s="370"/>
      <c r="Q28" s="370"/>
      <c r="R28" s="370"/>
      <c r="S28" s="370"/>
      <c r="T28" s="370"/>
      <c r="U28" s="370"/>
      <c r="V28" s="370"/>
      <c r="W28" s="371"/>
      <c r="X28" s="214"/>
      <c r="Y28" s="214"/>
      <c r="Z28" s="214"/>
      <c r="AA28" s="215">
        <f>SUM(AA29:AA30)</f>
        <v>183694068.65000001</v>
      </c>
      <c r="AB28" s="215">
        <f>SUM(AB29:AB30)</f>
        <v>0</v>
      </c>
      <c r="AC28" s="215">
        <f>SUM(AC29:AC30)</f>
        <v>183694068.65000001</v>
      </c>
      <c r="AD28" s="214"/>
      <c r="AE28" s="214"/>
      <c r="AF28" s="214"/>
      <c r="AG28" s="214"/>
      <c r="AH28" s="214"/>
      <c r="AI28" s="216">
        <f>+AI29+AI30</f>
        <v>42183930.980000004</v>
      </c>
      <c r="AJ28" s="216">
        <f t="shared" ref="AJ28:AK28" si="5">+AJ29+AJ30</f>
        <v>0</v>
      </c>
      <c r="AK28" s="287">
        <f t="shared" si="5"/>
        <v>42183930.980000004</v>
      </c>
      <c r="AL28" s="287"/>
      <c r="AM28" s="214"/>
      <c r="AN28" s="214"/>
    </row>
    <row r="29" spans="1:40" ht="148.15" customHeight="1" x14ac:dyDescent="0.25">
      <c r="A29" s="145" t="s">
        <v>167</v>
      </c>
      <c r="B29" s="146" t="s">
        <v>168</v>
      </c>
      <c r="C29" s="147" t="s">
        <v>169</v>
      </c>
      <c r="D29" s="147" t="s">
        <v>170</v>
      </c>
      <c r="E29" s="147" t="s">
        <v>171</v>
      </c>
      <c r="F29" s="148" t="s">
        <v>172</v>
      </c>
      <c r="G29" s="149" t="s">
        <v>173</v>
      </c>
      <c r="H29" s="150" t="s">
        <v>174</v>
      </c>
      <c r="I29" s="150"/>
      <c r="J29" s="150" t="s">
        <v>221</v>
      </c>
      <c r="K29" s="162" t="s">
        <v>222</v>
      </c>
      <c r="L29" s="162" t="s">
        <v>223</v>
      </c>
      <c r="M29" s="162" t="s">
        <v>222</v>
      </c>
      <c r="N29" s="162" t="s">
        <v>224</v>
      </c>
      <c r="O29" s="163">
        <v>1</v>
      </c>
      <c r="P29" s="152" t="s">
        <v>193</v>
      </c>
      <c r="Q29" s="152">
        <v>0</v>
      </c>
      <c r="R29" s="152"/>
      <c r="S29" s="145" t="s">
        <v>225</v>
      </c>
      <c r="T29" s="152">
        <v>0</v>
      </c>
      <c r="U29" s="154">
        <v>1</v>
      </c>
      <c r="V29" s="154">
        <v>0.5</v>
      </c>
      <c r="W29" s="154">
        <v>0.5</v>
      </c>
      <c r="X29" s="38">
        <v>0</v>
      </c>
      <c r="Y29" s="38">
        <v>0</v>
      </c>
      <c r="Z29" s="38">
        <v>0</v>
      </c>
      <c r="AA29" s="125">
        <f>+Hoja1!A8</f>
        <v>64292924.027499996</v>
      </c>
      <c r="AB29" s="38">
        <v>0</v>
      </c>
      <c r="AC29" s="43">
        <f>+AA29+AB29</f>
        <v>64292924.027499996</v>
      </c>
      <c r="AD29" s="43" t="s">
        <v>226</v>
      </c>
      <c r="AE29" s="36" t="s">
        <v>185</v>
      </c>
      <c r="AF29" s="99">
        <v>0.25</v>
      </c>
      <c r="AG29" s="38"/>
      <c r="AH29" s="47">
        <v>0</v>
      </c>
      <c r="AI29" s="209">
        <f>+Hoja1!C10+Hoja1!C11+4108232.2</f>
        <v>14764375.824000001</v>
      </c>
      <c r="AJ29" s="45"/>
      <c r="AK29" s="289">
        <f>+AI29+AJ29</f>
        <v>14764375.824000001</v>
      </c>
      <c r="AL29" s="289">
        <f>+AA29</f>
        <v>64292924.027499996</v>
      </c>
      <c r="AM29" s="36" t="s">
        <v>185</v>
      </c>
      <c r="AN29" s="98" t="s">
        <v>227</v>
      </c>
    </row>
    <row r="30" spans="1:40" ht="402.75" customHeight="1" x14ac:dyDescent="0.25">
      <c r="A30" s="145" t="s">
        <v>167</v>
      </c>
      <c r="B30" s="146" t="s">
        <v>168</v>
      </c>
      <c r="C30" s="147" t="s">
        <v>169</v>
      </c>
      <c r="D30" s="147" t="s">
        <v>170</v>
      </c>
      <c r="E30" s="147" t="s">
        <v>171</v>
      </c>
      <c r="F30" s="148" t="s">
        <v>172</v>
      </c>
      <c r="G30" s="149" t="s">
        <v>173</v>
      </c>
      <c r="H30" s="150" t="s">
        <v>174</v>
      </c>
      <c r="I30" s="150"/>
      <c r="J30" s="150" t="s">
        <v>221</v>
      </c>
      <c r="K30" s="162" t="s">
        <v>228</v>
      </c>
      <c r="L30" s="162" t="s">
        <v>223</v>
      </c>
      <c r="M30" s="153" t="s">
        <v>229</v>
      </c>
      <c r="N30" s="162" t="s">
        <v>230</v>
      </c>
      <c r="O30" s="163">
        <v>1</v>
      </c>
      <c r="P30" s="152" t="s">
        <v>193</v>
      </c>
      <c r="Q30" s="152">
        <v>0</v>
      </c>
      <c r="R30" s="152"/>
      <c r="S30" s="145" t="s">
        <v>231</v>
      </c>
      <c r="T30" s="152">
        <v>0</v>
      </c>
      <c r="U30" s="154">
        <v>1</v>
      </c>
      <c r="V30" s="154">
        <v>0.5</v>
      </c>
      <c r="W30" s="154">
        <v>0.5</v>
      </c>
      <c r="X30" s="38">
        <v>0</v>
      </c>
      <c r="Y30" s="38">
        <v>0</v>
      </c>
      <c r="Z30" s="38">
        <v>0</v>
      </c>
      <c r="AA30" s="125">
        <f>+Hoja1!A7</f>
        <v>119401144.6225</v>
      </c>
      <c r="AB30" s="38">
        <v>0</v>
      </c>
      <c r="AC30" s="43">
        <f>+AA30+AB30</f>
        <v>119401144.6225</v>
      </c>
      <c r="AD30" s="43" t="s">
        <v>226</v>
      </c>
      <c r="AE30" s="36" t="s">
        <v>185</v>
      </c>
      <c r="AF30" s="99">
        <v>0.25</v>
      </c>
      <c r="AG30" s="38"/>
      <c r="AH30" s="47">
        <v>0</v>
      </c>
      <c r="AI30" s="209">
        <f>+Hoja1!B10+Hoja1!B11+7629574.14</f>
        <v>27419555.156000003</v>
      </c>
      <c r="AJ30" s="45"/>
      <c r="AK30" s="289">
        <f>+AI30+AJ30</f>
        <v>27419555.156000003</v>
      </c>
      <c r="AL30" s="289">
        <f>+AA30</f>
        <v>119401144.6225</v>
      </c>
      <c r="AM30" s="16" t="s">
        <v>185</v>
      </c>
      <c r="AN30" s="98" t="s">
        <v>578</v>
      </c>
    </row>
    <row r="31" spans="1:40" s="222" customFormat="1" ht="23.45" customHeight="1" x14ac:dyDescent="0.25">
      <c r="A31" s="360" t="s">
        <v>232</v>
      </c>
      <c r="B31" s="361"/>
      <c r="C31" s="361"/>
      <c r="D31" s="361"/>
      <c r="E31" s="361"/>
      <c r="F31" s="361"/>
      <c r="G31" s="361"/>
      <c r="H31" s="361"/>
      <c r="I31" s="361"/>
      <c r="J31" s="361"/>
      <c r="K31" s="361"/>
      <c r="L31" s="361"/>
      <c r="M31" s="361"/>
      <c r="N31" s="361"/>
      <c r="O31" s="361"/>
      <c r="P31" s="361"/>
      <c r="Q31" s="361"/>
      <c r="R31" s="361"/>
      <c r="S31" s="361"/>
      <c r="T31" s="361"/>
      <c r="U31" s="361"/>
      <c r="V31" s="361"/>
      <c r="W31" s="362"/>
      <c r="X31" s="281"/>
      <c r="Y31" s="281"/>
      <c r="Z31" s="281"/>
      <c r="AA31" s="219">
        <f>SUM(AA32)</f>
        <v>101802995.98999999</v>
      </c>
      <c r="AB31" s="281">
        <f>+AB32</f>
        <v>0</v>
      </c>
      <c r="AC31" s="220">
        <f>+AA31+AB31</f>
        <v>101802995.98999999</v>
      </c>
      <c r="AD31" s="281"/>
      <c r="AE31" s="281"/>
      <c r="AF31" s="281"/>
      <c r="AG31" s="281"/>
      <c r="AH31" s="281"/>
      <c r="AI31" s="220">
        <f>+AI32</f>
        <v>22124938.350000001</v>
      </c>
      <c r="AJ31" s="220">
        <f>+AJ32</f>
        <v>0</v>
      </c>
      <c r="AK31" s="295">
        <f>+AI31+AJ31</f>
        <v>22124938.350000001</v>
      </c>
      <c r="AL31" s="295"/>
      <c r="AM31" s="281"/>
      <c r="AN31" s="281"/>
    </row>
    <row r="32" spans="1:40" ht="312" customHeight="1" x14ac:dyDescent="0.25">
      <c r="A32" s="145" t="s">
        <v>167</v>
      </c>
      <c r="B32" s="146" t="s">
        <v>168</v>
      </c>
      <c r="C32" s="147" t="s">
        <v>169</v>
      </c>
      <c r="D32" s="147" t="s">
        <v>170</v>
      </c>
      <c r="E32" s="147" t="s">
        <v>171</v>
      </c>
      <c r="F32" s="148" t="s">
        <v>172</v>
      </c>
      <c r="G32" s="149" t="s">
        <v>173</v>
      </c>
      <c r="H32" s="150" t="s">
        <v>174</v>
      </c>
      <c r="I32" s="150" t="s">
        <v>175</v>
      </c>
      <c r="J32" s="150" t="s">
        <v>176</v>
      </c>
      <c r="K32" s="147" t="s">
        <v>233</v>
      </c>
      <c r="L32" s="145" t="s">
        <v>234</v>
      </c>
      <c r="M32" s="145" t="s">
        <v>235</v>
      </c>
      <c r="N32" s="145" t="s">
        <v>236</v>
      </c>
      <c r="O32" s="151">
        <v>1</v>
      </c>
      <c r="P32" s="152" t="s">
        <v>193</v>
      </c>
      <c r="Q32" s="152"/>
      <c r="R32" s="152"/>
      <c r="S32" s="152" t="s">
        <v>237</v>
      </c>
      <c r="T32" s="152">
        <v>1</v>
      </c>
      <c r="U32" s="154">
        <v>1</v>
      </c>
      <c r="V32" s="154">
        <v>0.5</v>
      </c>
      <c r="W32" s="154">
        <v>0.5</v>
      </c>
      <c r="X32" s="38">
        <v>1</v>
      </c>
      <c r="Y32" s="38">
        <v>0</v>
      </c>
      <c r="Z32" s="38">
        <v>0</v>
      </c>
      <c r="AA32" s="125">
        <v>101802995.98999999</v>
      </c>
      <c r="AB32" s="38">
        <v>0</v>
      </c>
      <c r="AC32" s="43">
        <f>+AA32+AB32</f>
        <v>101802995.98999999</v>
      </c>
      <c r="AD32" s="43" t="s">
        <v>238</v>
      </c>
      <c r="AE32" s="36" t="s">
        <v>185</v>
      </c>
      <c r="AF32" s="99">
        <v>0.25</v>
      </c>
      <c r="AG32" s="38"/>
      <c r="AH32" s="47">
        <v>0</v>
      </c>
      <c r="AI32" s="209">
        <f>8449128.65+8048730.01+5627079.69</f>
        <v>22124938.350000001</v>
      </c>
      <c r="AJ32" s="45"/>
      <c r="AK32" s="289">
        <f>+AI32+AJ32</f>
        <v>22124938.350000001</v>
      </c>
      <c r="AL32" s="290"/>
      <c r="AM32" s="43" t="s">
        <v>186</v>
      </c>
      <c r="AN32" s="32" t="s">
        <v>586</v>
      </c>
    </row>
    <row r="33" spans="1:41" s="22" customFormat="1" ht="19.149999999999999" customHeight="1" x14ac:dyDescent="0.25">
      <c r="A33" s="256" t="s">
        <v>239</v>
      </c>
      <c r="B33" s="256"/>
      <c r="C33" s="256"/>
      <c r="D33" s="256"/>
      <c r="E33" s="256"/>
      <c r="F33" s="256"/>
      <c r="G33" s="256"/>
      <c r="H33" s="256"/>
      <c r="I33" s="256"/>
      <c r="J33" s="256"/>
      <c r="K33" s="256"/>
      <c r="L33" s="262"/>
      <c r="M33" s="262"/>
      <c r="N33" s="262"/>
      <c r="O33" s="262"/>
      <c r="P33" s="262"/>
      <c r="Q33" s="262"/>
      <c r="R33" s="262"/>
      <c r="S33" s="262"/>
      <c r="T33" s="256"/>
      <c r="U33" s="256"/>
      <c r="V33" s="256"/>
      <c r="W33" s="256"/>
      <c r="X33" s="279"/>
      <c r="Y33" s="279"/>
      <c r="Z33" s="279"/>
      <c r="AA33" s="211">
        <f>SUM(AA34:AA35)</f>
        <v>127679480.73</v>
      </c>
      <c r="AB33" s="221">
        <f>+AB34+AB35</f>
        <v>9500000</v>
      </c>
      <c r="AC33" s="220">
        <f>SUM(AC34:AC35)</f>
        <v>137179480.73000002</v>
      </c>
      <c r="AD33" s="279"/>
      <c r="AE33" s="279"/>
      <c r="AF33" s="279"/>
      <c r="AG33" s="279"/>
      <c r="AH33" s="279"/>
      <c r="AI33" s="218">
        <f>SUM(AI34:AI35)</f>
        <v>26222316.940000001</v>
      </c>
      <c r="AJ33" s="218">
        <f>SUM(AJ34:AJ35)</f>
        <v>0</v>
      </c>
      <c r="AK33" s="292">
        <f>SUM(AK34:AK35)</f>
        <v>26222316.940000001</v>
      </c>
      <c r="AL33" s="292"/>
      <c r="AM33" s="279"/>
      <c r="AN33" s="279"/>
    </row>
    <row r="34" spans="1:41" ht="278.25" customHeight="1" x14ac:dyDescent="0.25">
      <c r="A34" s="145" t="s">
        <v>167</v>
      </c>
      <c r="B34" s="146" t="s">
        <v>168</v>
      </c>
      <c r="C34" s="147" t="s">
        <v>169</v>
      </c>
      <c r="D34" s="147" t="s">
        <v>170</v>
      </c>
      <c r="E34" s="147" t="s">
        <v>171</v>
      </c>
      <c r="F34" s="148" t="s">
        <v>172</v>
      </c>
      <c r="G34" s="149" t="s">
        <v>173</v>
      </c>
      <c r="H34" s="150" t="s">
        <v>174</v>
      </c>
      <c r="I34" s="150" t="s">
        <v>175</v>
      </c>
      <c r="J34" s="150" t="s">
        <v>221</v>
      </c>
      <c r="K34" s="147" t="s">
        <v>240</v>
      </c>
      <c r="L34" s="145" t="s">
        <v>241</v>
      </c>
      <c r="M34" s="145" t="s">
        <v>242</v>
      </c>
      <c r="N34" s="145" t="s">
        <v>243</v>
      </c>
      <c r="O34" s="152">
        <v>2</v>
      </c>
      <c r="P34" s="152" t="s">
        <v>244</v>
      </c>
      <c r="Q34" s="152" t="s">
        <v>182</v>
      </c>
      <c r="R34" s="152" t="s">
        <v>182</v>
      </c>
      <c r="S34" s="152" t="s">
        <v>245</v>
      </c>
      <c r="T34" s="152">
        <v>0</v>
      </c>
      <c r="U34" s="151">
        <v>1</v>
      </c>
      <c r="V34" s="151">
        <v>0.4</v>
      </c>
      <c r="W34" s="151">
        <v>0.6</v>
      </c>
      <c r="X34" s="38">
        <v>0</v>
      </c>
      <c r="Y34" s="38">
        <v>0</v>
      </c>
      <c r="Z34" s="38">
        <v>0</v>
      </c>
      <c r="AA34" s="43">
        <v>63839740.365000002</v>
      </c>
      <c r="AB34" s="43">
        <v>4750000</v>
      </c>
      <c r="AC34" s="43">
        <f>+AA34+AB34</f>
        <v>68589740.36500001</v>
      </c>
      <c r="AD34" s="43" t="s">
        <v>246</v>
      </c>
      <c r="AE34" s="36" t="s">
        <v>185</v>
      </c>
      <c r="AF34" s="99">
        <v>0.24</v>
      </c>
      <c r="AG34" s="38"/>
      <c r="AH34" s="47">
        <v>0</v>
      </c>
      <c r="AI34" s="209">
        <f>+Hoja1!B16+Hoja1!B17+2901674.195</f>
        <v>13111158.470000001</v>
      </c>
      <c r="AJ34" s="45"/>
      <c r="AK34" s="289">
        <f>+AI34+AJ34</f>
        <v>13111158.470000001</v>
      </c>
      <c r="AL34" s="296"/>
      <c r="AM34" s="258"/>
      <c r="AN34" s="264" t="s">
        <v>247</v>
      </c>
      <c r="AO34" s="22"/>
    </row>
    <row r="35" spans="1:41" ht="326.25" customHeight="1" x14ac:dyDescent="0.25">
      <c r="A35" s="145" t="s">
        <v>167</v>
      </c>
      <c r="B35" s="146" t="s">
        <v>168</v>
      </c>
      <c r="C35" s="147" t="s">
        <v>169</v>
      </c>
      <c r="D35" s="147" t="s">
        <v>170</v>
      </c>
      <c r="E35" s="147" t="s">
        <v>171</v>
      </c>
      <c r="F35" s="148" t="s">
        <v>172</v>
      </c>
      <c r="G35" s="149" t="s">
        <v>173</v>
      </c>
      <c r="H35" s="150" t="s">
        <v>174</v>
      </c>
      <c r="I35" s="150" t="s">
        <v>175</v>
      </c>
      <c r="J35" s="150" t="s">
        <v>176</v>
      </c>
      <c r="K35" s="147" t="s">
        <v>248</v>
      </c>
      <c r="L35" s="145" t="s">
        <v>241</v>
      </c>
      <c r="M35" s="145" t="s">
        <v>249</v>
      </c>
      <c r="N35" s="145" t="s">
        <v>250</v>
      </c>
      <c r="O35" s="151">
        <v>1</v>
      </c>
      <c r="P35" s="152" t="s">
        <v>193</v>
      </c>
      <c r="Q35" s="152" t="s">
        <v>251</v>
      </c>
      <c r="R35" s="152" t="s">
        <v>251</v>
      </c>
      <c r="S35" s="152" t="s">
        <v>252</v>
      </c>
      <c r="T35" s="152">
        <v>0</v>
      </c>
      <c r="U35" s="151">
        <v>1</v>
      </c>
      <c r="V35" s="151">
        <v>0.4</v>
      </c>
      <c r="W35" s="151">
        <v>0.6</v>
      </c>
      <c r="X35" s="38">
        <v>0</v>
      </c>
      <c r="Y35" s="38">
        <v>0</v>
      </c>
      <c r="Z35" s="38">
        <v>0</v>
      </c>
      <c r="AA35" s="43">
        <v>63839740.365000002</v>
      </c>
      <c r="AB35" s="43">
        <v>4750000</v>
      </c>
      <c r="AC35" s="43">
        <f>+AA35+AB35</f>
        <v>68589740.36500001</v>
      </c>
      <c r="AD35" s="43" t="s">
        <v>246</v>
      </c>
      <c r="AE35" s="36" t="s">
        <v>185</v>
      </c>
      <c r="AF35" s="99">
        <v>0.25</v>
      </c>
      <c r="AG35" s="38"/>
      <c r="AH35" s="47">
        <v>0</v>
      </c>
      <c r="AI35" s="209">
        <f>+Hoja1!B16+Hoja1!B17+2901674.195</f>
        <v>13111158.470000001</v>
      </c>
      <c r="AJ35" s="45"/>
      <c r="AK35" s="289">
        <f>+AI35+AJ35</f>
        <v>13111158.470000001</v>
      </c>
      <c r="AL35" s="296"/>
      <c r="AM35" s="258"/>
      <c r="AN35" s="263" t="s">
        <v>253</v>
      </c>
      <c r="AO35" s="22"/>
    </row>
    <row r="36" spans="1:41" s="222" customFormat="1" ht="22.9" customHeight="1" x14ac:dyDescent="0.25">
      <c r="A36" s="360" t="s">
        <v>254</v>
      </c>
      <c r="B36" s="361"/>
      <c r="C36" s="361"/>
      <c r="D36" s="361"/>
      <c r="E36" s="361"/>
      <c r="F36" s="361"/>
      <c r="G36" s="361"/>
      <c r="H36" s="361"/>
      <c r="I36" s="361"/>
      <c r="J36" s="361"/>
      <c r="K36" s="361"/>
      <c r="L36" s="361"/>
      <c r="M36" s="361"/>
      <c r="N36" s="361"/>
      <c r="O36" s="361"/>
      <c r="P36" s="361"/>
      <c r="Q36" s="361"/>
      <c r="R36" s="361"/>
      <c r="S36" s="361"/>
      <c r="T36" s="361"/>
      <c r="U36" s="361"/>
      <c r="V36" s="361"/>
      <c r="W36" s="362"/>
      <c r="X36" s="281"/>
      <c r="Y36" s="281"/>
      <c r="Z36" s="281"/>
      <c r="AA36" s="211">
        <f>SUM(AA37:AA38)</f>
        <v>4077067760.4099998</v>
      </c>
      <c r="AB36" s="220">
        <f>SUM(AB37:AB38)</f>
        <v>4212704.0599999428</v>
      </c>
      <c r="AC36" s="220">
        <f>SUM(AC37:AC38)</f>
        <v>4081280464.4699998</v>
      </c>
      <c r="AD36" s="281"/>
      <c r="AE36" s="281"/>
      <c r="AF36" s="281"/>
      <c r="AG36" s="281"/>
      <c r="AH36" s="281"/>
      <c r="AI36" s="220">
        <f>SUM(AI37:AI38)</f>
        <v>205752684.16</v>
      </c>
      <c r="AJ36" s="220">
        <f t="shared" ref="AJ36:AK36" si="6">SUM(AJ37:AJ38)</f>
        <v>0</v>
      </c>
      <c r="AK36" s="295">
        <f t="shared" si="6"/>
        <v>205752684.16</v>
      </c>
      <c r="AL36" s="295"/>
      <c r="AM36" s="281"/>
      <c r="AN36" s="281"/>
    </row>
    <row r="37" spans="1:41" s="17" customFormat="1" ht="409.5" customHeight="1" thickTop="1" thickBot="1" x14ac:dyDescent="0.3">
      <c r="A37" s="145" t="s">
        <v>167</v>
      </c>
      <c r="B37" s="146" t="s">
        <v>168</v>
      </c>
      <c r="C37" s="147" t="s">
        <v>169</v>
      </c>
      <c r="D37" s="147" t="s">
        <v>170</v>
      </c>
      <c r="E37" s="147" t="s">
        <v>171</v>
      </c>
      <c r="F37" s="148" t="s">
        <v>172</v>
      </c>
      <c r="G37" s="149" t="s">
        <v>173</v>
      </c>
      <c r="H37" s="150" t="s">
        <v>174</v>
      </c>
      <c r="I37" s="150" t="s">
        <v>175</v>
      </c>
      <c r="J37" s="150" t="s">
        <v>221</v>
      </c>
      <c r="K37" s="147" t="s">
        <v>222</v>
      </c>
      <c r="L37" s="145" t="s">
        <v>255</v>
      </c>
      <c r="M37" s="150" t="s">
        <v>256</v>
      </c>
      <c r="N37" s="164" t="s">
        <v>257</v>
      </c>
      <c r="O37" s="165">
        <v>1</v>
      </c>
      <c r="P37" s="150" t="s">
        <v>193</v>
      </c>
      <c r="Q37" s="152" t="s">
        <v>258</v>
      </c>
      <c r="R37" s="152" t="s">
        <v>258</v>
      </c>
      <c r="S37" s="152" t="s">
        <v>259</v>
      </c>
      <c r="T37" s="152">
        <v>0</v>
      </c>
      <c r="U37" s="154">
        <v>1</v>
      </c>
      <c r="V37" s="151">
        <v>0.5</v>
      </c>
      <c r="W37" s="151">
        <v>0.5</v>
      </c>
      <c r="X37" s="38">
        <v>0</v>
      </c>
      <c r="Y37" s="38">
        <v>0</v>
      </c>
      <c r="Z37" s="38">
        <v>0</v>
      </c>
      <c r="AA37" s="43">
        <f>416616118.57-9985865.38+25773161.33</f>
        <v>432403414.51999998</v>
      </c>
      <c r="AB37" s="43">
        <f>+Hoja1!A30</f>
        <v>4212704.0599999428</v>
      </c>
      <c r="AC37" s="43">
        <f>+AA37+AB37</f>
        <v>436616118.57999992</v>
      </c>
      <c r="AD37" s="46" t="s">
        <v>260</v>
      </c>
      <c r="AE37" s="36" t="s">
        <v>185</v>
      </c>
      <c r="AF37" s="36">
        <v>0.25</v>
      </c>
      <c r="AG37" s="36"/>
      <c r="AH37" s="36"/>
      <c r="AI37" s="45">
        <f>+Hoja1!A35+21279488.7</f>
        <v>97784976.959999993</v>
      </c>
      <c r="AJ37" s="36"/>
      <c r="AK37" s="289">
        <f>+AI37+AJ37</f>
        <v>97784976.959999993</v>
      </c>
      <c r="AL37" s="297"/>
      <c r="AM37" s="36"/>
      <c r="AN37" s="300" t="s">
        <v>261</v>
      </c>
    </row>
    <row r="38" spans="1:41" s="17" customFormat="1" ht="117" customHeight="1" thickTop="1" thickBot="1" x14ac:dyDescent="0.3">
      <c r="A38" s="145" t="s">
        <v>167</v>
      </c>
      <c r="B38" s="146" t="s">
        <v>168</v>
      </c>
      <c r="C38" s="147" t="s">
        <v>169</v>
      </c>
      <c r="D38" s="147" t="s">
        <v>170</v>
      </c>
      <c r="E38" s="147" t="s">
        <v>171</v>
      </c>
      <c r="F38" s="148" t="s">
        <v>172</v>
      </c>
      <c r="G38" s="149" t="s">
        <v>173</v>
      </c>
      <c r="H38" s="150" t="s">
        <v>174</v>
      </c>
      <c r="I38" s="150" t="s">
        <v>175</v>
      </c>
      <c r="J38" s="150" t="s">
        <v>221</v>
      </c>
      <c r="K38" s="147" t="s">
        <v>262</v>
      </c>
      <c r="L38" s="145" t="s">
        <v>255</v>
      </c>
      <c r="M38" s="150" t="s">
        <v>263</v>
      </c>
      <c r="N38" s="164" t="s">
        <v>264</v>
      </c>
      <c r="O38" s="150">
        <v>1</v>
      </c>
      <c r="P38" s="150" t="s">
        <v>208</v>
      </c>
      <c r="Q38" s="152" t="s">
        <v>258</v>
      </c>
      <c r="R38" s="152" t="s">
        <v>258</v>
      </c>
      <c r="S38" s="150" t="s">
        <v>265</v>
      </c>
      <c r="T38" s="150">
        <v>1</v>
      </c>
      <c r="U38" s="150">
        <v>1</v>
      </c>
      <c r="V38" s="150">
        <v>0.3</v>
      </c>
      <c r="W38" s="150">
        <v>0.7</v>
      </c>
      <c r="X38" s="36"/>
      <c r="Y38" s="36"/>
      <c r="Z38" s="36"/>
      <c r="AA38" s="45">
        <f>+Hoja1!A25</f>
        <v>3644664345.8899999</v>
      </c>
      <c r="AB38" s="36"/>
      <c r="AC38" s="45">
        <f>+AA38+AB38</f>
        <v>3644664345.8899999</v>
      </c>
      <c r="AD38" s="46" t="s">
        <v>260</v>
      </c>
      <c r="AE38" s="36" t="s">
        <v>185</v>
      </c>
      <c r="AF38" s="36"/>
      <c r="AG38" s="36"/>
      <c r="AH38" s="36"/>
      <c r="AI38" s="45">
        <f>131847785.31-23880078.11</f>
        <v>107967707.2</v>
      </c>
      <c r="AJ38" s="36"/>
      <c r="AK38" s="289">
        <f>+AI38+AJ38</f>
        <v>107967707.2</v>
      </c>
      <c r="AL38" s="297"/>
      <c r="AM38" s="36"/>
      <c r="AN38" s="98" t="s">
        <v>580</v>
      </c>
    </row>
    <row r="39" spans="1:41" s="17" customFormat="1" ht="24.6" customHeight="1" thickTop="1" thickBot="1" x14ac:dyDescent="0.3">
      <c r="A39" s="363" t="s">
        <v>266</v>
      </c>
      <c r="B39" s="364"/>
      <c r="C39" s="364"/>
      <c r="D39" s="364"/>
      <c r="E39" s="364"/>
      <c r="F39" s="364"/>
      <c r="G39" s="364"/>
      <c r="H39" s="364"/>
      <c r="I39" s="364"/>
      <c r="J39" s="364"/>
      <c r="K39" s="364"/>
      <c r="L39" s="364"/>
      <c r="M39" s="364"/>
      <c r="N39" s="364"/>
      <c r="O39" s="364"/>
      <c r="P39" s="364"/>
      <c r="Q39" s="364"/>
      <c r="R39" s="364"/>
      <c r="S39" s="364"/>
      <c r="T39" s="364"/>
      <c r="U39" s="364"/>
      <c r="V39" s="364"/>
      <c r="W39" s="365"/>
      <c r="X39" s="279"/>
      <c r="Y39" s="279"/>
      <c r="Z39" s="279"/>
      <c r="AA39" s="111">
        <f>SUM(AA40:AA49)</f>
        <v>1384914097.3600001</v>
      </c>
      <c r="AB39" s="111">
        <f t="shared" ref="AB39:AC39" si="7">SUM(AB40:AB49)</f>
        <v>-10000000</v>
      </c>
      <c r="AC39" s="111">
        <f t="shared" si="7"/>
        <v>1374914097.3600001</v>
      </c>
      <c r="AD39" s="279"/>
      <c r="AE39" s="279"/>
      <c r="AF39" s="279"/>
      <c r="AG39" s="279"/>
      <c r="AH39" s="279"/>
      <c r="AI39" s="220">
        <f>SUM(AI40:AI49)</f>
        <v>320139385.59999996</v>
      </c>
      <c r="AJ39" s="220">
        <f>SUM(AJ40:AJ49)</f>
        <v>0</v>
      </c>
      <c r="AK39" s="295">
        <f>SUM(AK40:AK49)</f>
        <v>320139385.59999996</v>
      </c>
      <c r="AL39" s="292"/>
      <c r="AM39" s="279"/>
      <c r="AN39" s="279"/>
    </row>
    <row r="40" spans="1:41" s="17" customFormat="1" ht="144" customHeight="1" x14ac:dyDescent="0.25">
      <c r="A40" s="145" t="s">
        <v>167</v>
      </c>
      <c r="B40" s="146" t="s">
        <v>168</v>
      </c>
      <c r="C40" s="147" t="s">
        <v>169</v>
      </c>
      <c r="D40" s="147" t="s">
        <v>170</v>
      </c>
      <c r="E40" s="147" t="s">
        <v>171</v>
      </c>
      <c r="F40" s="148" t="s">
        <v>172</v>
      </c>
      <c r="G40" s="149" t="s">
        <v>173</v>
      </c>
      <c r="H40" s="150" t="s">
        <v>174</v>
      </c>
      <c r="I40" s="150" t="s">
        <v>175</v>
      </c>
      <c r="J40" s="150" t="s">
        <v>176</v>
      </c>
      <c r="K40" s="147" t="s">
        <v>189</v>
      </c>
      <c r="L40" s="145" t="s">
        <v>267</v>
      </c>
      <c r="M40" s="145" t="s">
        <v>268</v>
      </c>
      <c r="N40" s="145" t="s">
        <v>269</v>
      </c>
      <c r="O40" s="152">
        <v>23</v>
      </c>
      <c r="P40" s="152" t="s">
        <v>270</v>
      </c>
      <c r="Q40" s="152" t="s">
        <v>251</v>
      </c>
      <c r="R40" s="152" t="s">
        <v>251</v>
      </c>
      <c r="S40" s="145" t="s">
        <v>271</v>
      </c>
      <c r="T40" s="152">
        <v>0</v>
      </c>
      <c r="U40" s="152">
        <v>23</v>
      </c>
      <c r="V40" s="152">
        <v>11</v>
      </c>
      <c r="W40" s="152">
        <v>12</v>
      </c>
      <c r="X40" s="38">
        <v>0</v>
      </c>
      <c r="Y40" s="38">
        <v>0</v>
      </c>
      <c r="Z40" s="38">
        <v>0</v>
      </c>
      <c r="AA40" s="43">
        <f>130000+25363147.88</f>
        <v>25493147.879999999</v>
      </c>
      <c r="AB40" s="43">
        <v>0</v>
      </c>
      <c r="AC40" s="43">
        <f>+AA40+AB40</f>
        <v>25493147.879999999</v>
      </c>
      <c r="AD40" s="46" t="s">
        <v>272</v>
      </c>
      <c r="AE40" s="36" t="s">
        <v>185</v>
      </c>
      <c r="AF40" s="301">
        <v>0.25</v>
      </c>
      <c r="AG40" s="47">
        <v>0</v>
      </c>
      <c r="AH40" s="34">
        <f>+AF40+AG40</f>
        <v>0.25</v>
      </c>
      <c r="AI40" s="45">
        <f>3591060+600000+2050000</f>
        <v>6241060</v>
      </c>
      <c r="AJ40" s="45">
        <v>0</v>
      </c>
      <c r="AK40" s="289">
        <f t="shared" ref="AK40:AK49" si="8">+AI40+AJ40</f>
        <v>6241060</v>
      </c>
      <c r="AL40" s="298">
        <v>130000</v>
      </c>
      <c r="AM40" s="32"/>
      <c r="AN40" s="32" t="s">
        <v>273</v>
      </c>
    </row>
    <row r="41" spans="1:41" s="17" customFormat="1" ht="189.75" customHeight="1" x14ac:dyDescent="0.25">
      <c r="A41" s="145" t="s">
        <v>167</v>
      </c>
      <c r="B41" s="146" t="s">
        <v>168</v>
      </c>
      <c r="C41" s="147" t="s">
        <v>169</v>
      </c>
      <c r="D41" s="147" t="s">
        <v>170</v>
      </c>
      <c r="E41" s="147" t="s">
        <v>171</v>
      </c>
      <c r="F41" s="148" t="s">
        <v>172</v>
      </c>
      <c r="G41" s="149" t="s">
        <v>173</v>
      </c>
      <c r="H41" s="150" t="s">
        <v>174</v>
      </c>
      <c r="I41" s="150" t="s">
        <v>175</v>
      </c>
      <c r="J41" s="150" t="s">
        <v>176</v>
      </c>
      <c r="K41" s="147" t="s">
        <v>274</v>
      </c>
      <c r="L41" s="145" t="s">
        <v>267</v>
      </c>
      <c r="M41" s="145" t="s">
        <v>275</v>
      </c>
      <c r="N41" s="145" t="s">
        <v>276</v>
      </c>
      <c r="O41" s="151">
        <v>1</v>
      </c>
      <c r="P41" s="152" t="s">
        <v>277</v>
      </c>
      <c r="Q41" s="152" t="s">
        <v>258</v>
      </c>
      <c r="R41" s="152" t="s">
        <v>258</v>
      </c>
      <c r="S41" s="152" t="s">
        <v>278</v>
      </c>
      <c r="T41" s="152">
        <v>0</v>
      </c>
      <c r="U41" s="154">
        <v>1</v>
      </c>
      <c r="V41" s="154">
        <v>0.47</v>
      </c>
      <c r="W41" s="154">
        <v>0.53</v>
      </c>
      <c r="X41" s="38">
        <v>0</v>
      </c>
      <c r="Y41" s="38">
        <v>0</v>
      </c>
      <c r="Z41" s="38">
        <v>0</v>
      </c>
      <c r="AA41" s="43">
        <f>1410000+51600228.12</f>
        <v>53010228.119999997</v>
      </c>
      <c r="AB41" s="43">
        <v>0</v>
      </c>
      <c r="AC41" s="43">
        <f t="shared" ref="AC41:AC49" si="9">+AA41+AB41</f>
        <v>53010228.119999997</v>
      </c>
      <c r="AD41" s="46" t="s">
        <v>279</v>
      </c>
      <c r="AE41" s="36" t="s">
        <v>185</v>
      </c>
      <c r="AF41" s="301">
        <v>0.25</v>
      </c>
      <c r="AG41" s="47">
        <v>0</v>
      </c>
      <c r="AH41" s="34">
        <f t="shared" ref="AH41:AH49" si="10">+AF41+AG41</f>
        <v>0.25</v>
      </c>
      <c r="AI41" s="45">
        <f>8638001.23+800000+4750000-1150062</f>
        <v>13037939.23</v>
      </c>
      <c r="AJ41" s="45">
        <v>0</v>
      </c>
      <c r="AK41" s="289">
        <f t="shared" si="8"/>
        <v>13037939.23</v>
      </c>
      <c r="AL41" s="298">
        <v>3560000</v>
      </c>
      <c r="AM41" s="32"/>
      <c r="AN41" s="267" t="s">
        <v>280</v>
      </c>
    </row>
    <row r="42" spans="1:41" s="17" customFormat="1" ht="238.5" customHeight="1" x14ac:dyDescent="0.25">
      <c r="A42" s="145" t="s">
        <v>167</v>
      </c>
      <c r="B42" s="146" t="s">
        <v>168</v>
      </c>
      <c r="C42" s="147" t="s">
        <v>169</v>
      </c>
      <c r="D42" s="147" t="s">
        <v>170</v>
      </c>
      <c r="E42" s="147" t="s">
        <v>171</v>
      </c>
      <c r="F42" s="148" t="s">
        <v>172</v>
      </c>
      <c r="G42" s="149" t="s">
        <v>173</v>
      </c>
      <c r="H42" s="150" t="s">
        <v>174</v>
      </c>
      <c r="I42" s="150" t="s">
        <v>175</v>
      </c>
      <c r="J42" s="150" t="s">
        <v>221</v>
      </c>
      <c r="K42" s="147" t="s">
        <v>228</v>
      </c>
      <c r="L42" s="145" t="s">
        <v>267</v>
      </c>
      <c r="M42" s="145" t="s">
        <v>281</v>
      </c>
      <c r="N42" s="145" t="s">
        <v>282</v>
      </c>
      <c r="O42" s="151">
        <v>1</v>
      </c>
      <c r="P42" s="152" t="s">
        <v>283</v>
      </c>
      <c r="Q42" s="152" t="s">
        <v>251</v>
      </c>
      <c r="R42" s="152" t="s">
        <v>251</v>
      </c>
      <c r="S42" s="152" t="s">
        <v>284</v>
      </c>
      <c r="T42" s="152" t="s">
        <v>251</v>
      </c>
      <c r="U42" s="154">
        <v>1</v>
      </c>
      <c r="V42" s="154">
        <v>0.5</v>
      </c>
      <c r="W42" s="154">
        <v>0.5</v>
      </c>
      <c r="X42" s="38">
        <v>0</v>
      </c>
      <c r="Y42" s="38">
        <v>0</v>
      </c>
      <c r="Z42" s="38">
        <v>0</v>
      </c>
      <c r="AA42" s="43">
        <v>43801910.039999999</v>
      </c>
      <c r="AB42" s="43">
        <v>0</v>
      </c>
      <c r="AC42" s="43">
        <f t="shared" si="9"/>
        <v>43801910.039999999</v>
      </c>
      <c r="AD42" s="46" t="s">
        <v>279</v>
      </c>
      <c r="AE42" s="36" t="s">
        <v>185</v>
      </c>
      <c r="AF42" s="301">
        <v>0.25</v>
      </c>
      <c r="AG42" s="47">
        <v>0</v>
      </c>
      <c r="AH42" s="34">
        <f t="shared" si="10"/>
        <v>0.25</v>
      </c>
      <c r="AI42" s="45">
        <f>7430965.12+3750000</f>
        <v>11180965.120000001</v>
      </c>
      <c r="AJ42" s="45">
        <v>0</v>
      </c>
      <c r="AK42" s="289">
        <f t="shared" si="8"/>
        <v>11180965.120000001</v>
      </c>
      <c r="AL42" s="298">
        <v>3350000</v>
      </c>
      <c r="AM42" s="32"/>
      <c r="AN42" s="32" t="s">
        <v>285</v>
      </c>
    </row>
    <row r="43" spans="1:41" s="17" customFormat="1" ht="137.25" customHeight="1" x14ac:dyDescent="0.25">
      <c r="A43" s="145" t="s">
        <v>167</v>
      </c>
      <c r="B43" s="146" t="s">
        <v>168</v>
      </c>
      <c r="C43" s="147" t="s">
        <v>169</v>
      </c>
      <c r="D43" s="147" t="s">
        <v>170</v>
      </c>
      <c r="E43" s="147" t="s">
        <v>171</v>
      </c>
      <c r="F43" s="148" t="s">
        <v>172</v>
      </c>
      <c r="G43" s="149" t="s">
        <v>173</v>
      </c>
      <c r="H43" s="150" t="s">
        <v>174</v>
      </c>
      <c r="I43" s="150" t="s">
        <v>175</v>
      </c>
      <c r="J43" s="150" t="s">
        <v>221</v>
      </c>
      <c r="K43" s="147" t="s">
        <v>228</v>
      </c>
      <c r="L43" s="145" t="s">
        <v>267</v>
      </c>
      <c r="M43" s="145" t="s">
        <v>286</v>
      </c>
      <c r="N43" s="145" t="s">
        <v>287</v>
      </c>
      <c r="O43" s="151">
        <v>1</v>
      </c>
      <c r="P43" s="152" t="s">
        <v>288</v>
      </c>
      <c r="Q43" s="152" t="s">
        <v>251</v>
      </c>
      <c r="R43" s="152" t="s">
        <v>251</v>
      </c>
      <c r="S43" s="152" t="s">
        <v>289</v>
      </c>
      <c r="T43" s="152" t="s">
        <v>251</v>
      </c>
      <c r="U43" s="154">
        <v>1</v>
      </c>
      <c r="V43" s="154">
        <v>0.5</v>
      </c>
      <c r="W43" s="154">
        <v>0.5</v>
      </c>
      <c r="X43" s="38">
        <v>0</v>
      </c>
      <c r="Y43" s="38">
        <v>0</v>
      </c>
      <c r="Z43" s="38">
        <v>0</v>
      </c>
      <c r="AA43" s="43">
        <f>693224986+50075509.35-30606158.98</f>
        <v>712694336.37</v>
      </c>
      <c r="AB43" s="43">
        <v>-10000000</v>
      </c>
      <c r="AC43" s="43">
        <f t="shared" si="9"/>
        <v>702694336.37</v>
      </c>
      <c r="AD43" s="46" t="s">
        <v>290</v>
      </c>
      <c r="AE43" s="36" t="s">
        <v>185</v>
      </c>
      <c r="AF43" s="301">
        <v>0.25</v>
      </c>
      <c r="AG43" s="47">
        <v>0</v>
      </c>
      <c r="AH43" s="34">
        <f t="shared" si="10"/>
        <v>0.25</v>
      </c>
      <c r="AI43" s="45">
        <f>21995477.04+22754220.58+9215911.93+16000000+2000000+4020000+466286+20178802.11</f>
        <v>96630697.659999996</v>
      </c>
      <c r="AJ43" s="45">
        <v>0</v>
      </c>
      <c r="AK43" s="289">
        <f t="shared" si="8"/>
        <v>96630697.659999996</v>
      </c>
      <c r="AL43" s="298">
        <v>556374986</v>
      </c>
      <c r="AM43" s="32"/>
      <c r="AN43" s="32" t="s">
        <v>291</v>
      </c>
    </row>
    <row r="44" spans="1:41" s="17" customFormat="1" ht="97.15" customHeight="1" x14ac:dyDescent="0.25">
      <c r="A44" s="145" t="s">
        <v>167</v>
      </c>
      <c r="B44" s="146" t="s">
        <v>168</v>
      </c>
      <c r="C44" s="147" t="s">
        <v>169</v>
      </c>
      <c r="D44" s="147" t="s">
        <v>170</v>
      </c>
      <c r="E44" s="147" t="s">
        <v>171</v>
      </c>
      <c r="F44" s="148" t="s">
        <v>172</v>
      </c>
      <c r="G44" s="149" t="s">
        <v>173</v>
      </c>
      <c r="H44" s="150" t="s">
        <v>174</v>
      </c>
      <c r="I44" s="150" t="s">
        <v>175</v>
      </c>
      <c r="J44" s="150" t="s">
        <v>221</v>
      </c>
      <c r="K44" s="147" t="s">
        <v>228</v>
      </c>
      <c r="L44" s="145" t="s">
        <v>267</v>
      </c>
      <c r="M44" s="145" t="s">
        <v>292</v>
      </c>
      <c r="N44" s="145" t="s">
        <v>293</v>
      </c>
      <c r="O44" s="152">
        <v>3</v>
      </c>
      <c r="P44" s="152" t="s">
        <v>288</v>
      </c>
      <c r="Q44" s="152" t="s">
        <v>251</v>
      </c>
      <c r="R44" s="152" t="s">
        <v>251</v>
      </c>
      <c r="S44" s="152" t="s">
        <v>294</v>
      </c>
      <c r="T44" s="152" t="s">
        <v>251</v>
      </c>
      <c r="U44" s="152">
        <v>3</v>
      </c>
      <c r="V44" s="152">
        <v>0</v>
      </c>
      <c r="W44" s="152">
        <v>3</v>
      </c>
      <c r="X44" s="38">
        <v>0</v>
      </c>
      <c r="Y44" s="38">
        <v>0</v>
      </c>
      <c r="Z44" s="38">
        <v>0</v>
      </c>
      <c r="AA44" s="43">
        <f t="shared" ref="AA44" si="11">+AL44</f>
        <v>80000000</v>
      </c>
      <c r="AB44" s="43">
        <v>0</v>
      </c>
      <c r="AC44" s="43">
        <f t="shared" si="9"/>
        <v>80000000</v>
      </c>
      <c r="AD44" s="46" t="s">
        <v>290</v>
      </c>
      <c r="AE44" s="36" t="s">
        <v>185</v>
      </c>
      <c r="AF44" s="47">
        <v>0</v>
      </c>
      <c r="AG44" s="47">
        <v>0</v>
      </c>
      <c r="AH44" s="34">
        <f t="shared" si="10"/>
        <v>0</v>
      </c>
      <c r="AI44" s="45">
        <v>0</v>
      </c>
      <c r="AJ44" s="45">
        <v>0</v>
      </c>
      <c r="AK44" s="289">
        <f t="shared" si="8"/>
        <v>0</v>
      </c>
      <c r="AL44" s="298">
        <v>80000000</v>
      </c>
      <c r="AM44" s="32"/>
      <c r="AN44" s="32" t="s">
        <v>295</v>
      </c>
    </row>
    <row r="45" spans="1:41" s="17" customFormat="1" ht="406.5" customHeight="1" x14ac:dyDescent="0.25">
      <c r="A45" s="145" t="s">
        <v>167</v>
      </c>
      <c r="B45" s="146" t="s">
        <v>168</v>
      </c>
      <c r="C45" s="147" t="s">
        <v>169</v>
      </c>
      <c r="D45" s="147" t="s">
        <v>170</v>
      </c>
      <c r="E45" s="147" t="s">
        <v>171</v>
      </c>
      <c r="F45" s="148" t="s">
        <v>172</v>
      </c>
      <c r="G45" s="149" t="s">
        <v>173</v>
      </c>
      <c r="H45" s="150" t="s">
        <v>174</v>
      </c>
      <c r="I45" s="150" t="s">
        <v>175</v>
      </c>
      <c r="J45" s="150" t="s">
        <v>221</v>
      </c>
      <c r="K45" s="147" t="s">
        <v>228</v>
      </c>
      <c r="L45" s="145" t="s">
        <v>267</v>
      </c>
      <c r="M45" s="145" t="s">
        <v>296</v>
      </c>
      <c r="N45" s="145" t="s">
        <v>297</v>
      </c>
      <c r="O45" s="151">
        <v>1</v>
      </c>
      <c r="P45" s="152" t="s">
        <v>288</v>
      </c>
      <c r="Q45" s="152" t="s">
        <v>251</v>
      </c>
      <c r="R45" s="152" t="s">
        <v>251</v>
      </c>
      <c r="S45" s="152" t="s">
        <v>298</v>
      </c>
      <c r="T45" s="152" t="s">
        <v>251</v>
      </c>
      <c r="U45" s="154">
        <v>1</v>
      </c>
      <c r="V45" s="151">
        <v>0.65</v>
      </c>
      <c r="W45" s="151">
        <v>0.35</v>
      </c>
      <c r="X45" s="38">
        <v>0</v>
      </c>
      <c r="Y45" s="38">
        <v>0</v>
      </c>
      <c r="Z45" s="38">
        <v>0</v>
      </c>
      <c r="AA45" s="43">
        <f>11000000+78070755.81+9950000</f>
        <v>99020755.810000002</v>
      </c>
      <c r="AB45" s="43">
        <v>0</v>
      </c>
      <c r="AC45" s="43">
        <f t="shared" si="9"/>
        <v>99020755.810000002</v>
      </c>
      <c r="AD45" s="46" t="s">
        <v>299</v>
      </c>
      <c r="AE45" s="36" t="s">
        <v>185</v>
      </c>
      <c r="AF45" s="301">
        <v>0.25</v>
      </c>
      <c r="AG45" s="47">
        <v>0</v>
      </c>
      <c r="AH45" s="34">
        <f t="shared" si="10"/>
        <v>0.25</v>
      </c>
      <c r="AI45" s="45">
        <f>12368221.13+8000000+6250000</f>
        <v>26618221.130000003</v>
      </c>
      <c r="AJ45" s="45">
        <v>0</v>
      </c>
      <c r="AK45" s="289">
        <f t="shared" si="8"/>
        <v>26618221.130000003</v>
      </c>
      <c r="AL45" s="298">
        <f>11000000+9950000</f>
        <v>20950000</v>
      </c>
      <c r="AM45" s="32"/>
      <c r="AN45" s="32" t="s">
        <v>300</v>
      </c>
    </row>
    <row r="46" spans="1:41" s="17" customFormat="1" ht="99" customHeight="1" x14ac:dyDescent="0.25">
      <c r="A46" s="145" t="s">
        <v>167</v>
      </c>
      <c r="B46" s="146" t="s">
        <v>168</v>
      </c>
      <c r="C46" s="147" t="s">
        <v>169</v>
      </c>
      <c r="D46" s="147" t="s">
        <v>170</v>
      </c>
      <c r="E46" s="147" t="s">
        <v>171</v>
      </c>
      <c r="F46" s="148" t="s">
        <v>172</v>
      </c>
      <c r="G46" s="149" t="s">
        <v>173</v>
      </c>
      <c r="H46" s="150" t="s">
        <v>174</v>
      </c>
      <c r="I46" s="150" t="s">
        <v>175</v>
      </c>
      <c r="J46" s="150" t="s">
        <v>301</v>
      </c>
      <c r="K46" s="147" t="s">
        <v>274</v>
      </c>
      <c r="L46" s="145" t="s">
        <v>267</v>
      </c>
      <c r="M46" s="145" t="s">
        <v>302</v>
      </c>
      <c r="N46" s="145" t="s">
        <v>303</v>
      </c>
      <c r="O46" s="151">
        <v>1</v>
      </c>
      <c r="P46" s="152" t="s">
        <v>244</v>
      </c>
      <c r="Q46" s="152" t="s">
        <v>251</v>
      </c>
      <c r="R46" s="152" t="s">
        <v>251</v>
      </c>
      <c r="S46" s="152" t="s">
        <v>304</v>
      </c>
      <c r="T46" s="152">
        <v>0</v>
      </c>
      <c r="U46" s="154">
        <v>1</v>
      </c>
      <c r="V46" s="154">
        <v>0.5</v>
      </c>
      <c r="W46" s="154">
        <v>0.5</v>
      </c>
      <c r="X46" s="38">
        <v>0</v>
      </c>
      <c r="Y46" s="38">
        <v>0</v>
      </c>
      <c r="Z46" s="38">
        <v>0</v>
      </c>
      <c r="AA46" s="43">
        <v>4639710.05</v>
      </c>
      <c r="AB46" s="43">
        <v>0</v>
      </c>
      <c r="AC46" s="43">
        <f t="shared" si="9"/>
        <v>4639710.05</v>
      </c>
      <c r="AD46" s="46" t="s">
        <v>279</v>
      </c>
      <c r="AE46" s="36" t="s">
        <v>185</v>
      </c>
      <c r="AF46" s="301">
        <v>0</v>
      </c>
      <c r="AG46" s="47">
        <v>0</v>
      </c>
      <c r="AH46" s="34">
        <f t="shared" si="10"/>
        <v>0</v>
      </c>
      <c r="AI46" s="45">
        <v>0</v>
      </c>
      <c r="AJ46" s="45">
        <v>0</v>
      </c>
      <c r="AK46" s="289">
        <f t="shared" si="8"/>
        <v>0</v>
      </c>
      <c r="AL46" s="299">
        <v>0</v>
      </c>
      <c r="AM46" s="32"/>
      <c r="AN46" s="32" t="s">
        <v>305</v>
      </c>
    </row>
    <row r="47" spans="1:41" s="17" customFormat="1" ht="138.6" customHeight="1" x14ac:dyDescent="0.25">
      <c r="A47" s="145" t="s">
        <v>167</v>
      </c>
      <c r="B47" s="145" t="s">
        <v>168</v>
      </c>
      <c r="C47" s="145" t="s">
        <v>169</v>
      </c>
      <c r="D47" s="145" t="s">
        <v>170</v>
      </c>
      <c r="E47" s="145" t="s">
        <v>171</v>
      </c>
      <c r="F47" s="145" t="s">
        <v>172</v>
      </c>
      <c r="G47" s="145" t="s">
        <v>173</v>
      </c>
      <c r="H47" s="145" t="s">
        <v>174</v>
      </c>
      <c r="I47" s="145" t="s">
        <v>175</v>
      </c>
      <c r="J47" s="145" t="s">
        <v>301</v>
      </c>
      <c r="K47" s="145" t="s">
        <v>306</v>
      </c>
      <c r="L47" s="145" t="s">
        <v>267</v>
      </c>
      <c r="M47" s="145" t="s">
        <v>307</v>
      </c>
      <c r="N47" s="145" t="s">
        <v>308</v>
      </c>
      <c r="O47" s="151">
        <v>1</v>
      </c>
      <c r="P47" s="145" t="s">
        <v>309</v>
      </c>
      <c r="Q47" s="145" t="s">
        <v>251</v>
      </c>
      <c r="R47" s="145" t="s">
        <v>251</v>
      </c>
      <c r="S47" s="145" t="s">
        <v>310</v>
      </c>
      <c r="T47" s="145">
        <v>0</v>
      </c>
      <c r="U47" s="154">
        <v>1</v>
      </c>
      <c r="V47" s="154">
        <v>0.5</v>
      </c>
      <c r="W47" s="154">
        <v>0.5</v>
      </c>
      <c r="X47" s="32">
        <v>0</v>
      </c>
      <c r="Y47" s="32">
        <v>0</v>
      </c>
      <c r="Z47" s="32">
        <v>0</v>
      </c>
      <c r="AA47" s="52">
        <f>205200000+92470057.96</f>
        <v>297670057.95999998</v>
      </c>
      <c r="AB47" s="32">
        <v>0</v>
      </c>
      <c r="AC47" s="43">
        <f t="shared" si="9"/>
        <v>297670057.95999998</v>
      </c>
      <c r="AD47" s="32" t="s">
        <v>279</v>
      </c>
      <c r="AE47" s="32" t="s">
        <v>185</v>
      </c>
      <c r="AF47" s="53">
        <v>0.25</v>
      </c>
      <c r="AG47" s="32">
        <v>0</v>
      </c>
      <c r="AH47" s="32">
        <f t="shared" si="10"/>
        <v>0.25</v>
      </c>
      <c r="AI47" s="52">
        <f>11026262.2+143128943.27+2038038.32+4350000+2539100.4</f>
        <v>163082344.19</v>
      </c>
      <c r="AJ47" s="32">
        <v>0</v>
      </c>
      <c r="AK47" s="298">
        <f t="shared" si="8"/>
        <v>163082344.19</v>
      </c>
      <c r="AL47" s="298">
        <v>205200000</v>
      </c>
      <c r="AM47" s="32"/>
      <c r="AN47" s="32" t="s">
        <v>311</v>
      </c>
    </row>
    <row r="48" spans="1:41" s="17" customFormat="1" ht="141" customHeight="1" x14ac:dyDescent="0.25">
      <c r="A48" s="145" t="s">
        <v>167</v>
      </c>
      <c r="B48" s="145" t="s">
        <v>168</v>
      </c>
      <c r="C48" s="145" t="s">
        <v>169</v>
      </c>
      <c r="D48" s="145" t="s">
        <v>170</v>
      </c>
      <c r="E48" s="145" t="s">
        <v>171</v>
      </c>
      <c r="F48" s="145" t="s">
        <v>172</v>
      </c>
      <c r="G48" s="145" t="s">
        <v>173</v>
      </c>
      <c r="H48" s="145" t="s">
        <v>174</v>
      </c>
      <c r="I48" s="145" t="s">
        <v>175</v>
      </c>
      <c r="J48" s="145" t="s">
        <v>301</v>
      </c>
      <c r="K48" s="145" t="s">
        <v>306</v>
      </c>
      <c r="L48" s="145" t="s">
        <v>267</v>
      </c>
      <c r="M48" s="145" t="s">
        <v>312</v>
      </c>
      <c r="N48" s="145" t="s">
        <v>313</v>
      </c>
      <c r="O48" s="151">
        <v>1</v>
      </c>
      <c r="P48" s="145" t="s">
        <v>244</v>
      </c>
      <c r="Q48" s="152">
        <v>50</v>
      </c>
      <c r="R48" s="152">
        <v>68</v>
      </c>
      <c r="S48" s="145" t="s">
        <v>314</v>
      </c>
      <c r="T48" s="145">
        <v>0</v>
      </c>
      <c r="U48" s="154">
        <v>1</v>
      </c>
      <c r="V48" s="154">
        <v>0.5</v>
      </c>
      <c r="W48" s="154">
        <v>0.5</v>
      </c>
      <c r="X48" s="32"/>
      <c r="Y48" s="32"/>
      <c r="Z48" s="32"/>
      <c r="AA48" s="52">
        <v>50000000</v>
      </c>
      <c r="AB48" s="32"/>
      <c r="AC48" s="43">
        <f t="shared" si="9"/>
        <v>50000000</v>
      </c>
      <c r="AD48" s="32" t="s">
        <v>279</v>
      </c>
      <c r="AE48" s="32" t="s">
        <v>185</v>
      </c>
      <c r="AF48" s="53">
        <v>0</v>
      </c>
      <c r="AG48" s="32"/>
      <c r="AH48" s="32"/>
      <c r="AI48" s="32"/>
      <c r="AJ48" s="32"/>
      <c r="AK48" s="298"/>
      <c r="AL48" s="298"/>
      <c r="AM48" s="32"/>
      <c r="AN48" s="32" t="s">
        <v>315</v>
      </c>
    </row>
    <row r="49" spans="1:40" s="17" customFormat="1" ht="252.75" customHeight="1" x14ac:dyDescent="0.25">
      <c r="A49" s="145" t="s">
        <v>167</v>
      </c>
      <c r="B49" s="145" t="s">
        <v>168</v>
      </c>
      <c r="C49" s="145" t="s">
        <v>169</v>
      </c>
      <c r="D49" s="145" t="s">
        <v>170</v>
      </c>
      <c r="E49" s="145" t="s">
        <v>171</v>
      </c>
      <c r="F49" s="145" t="s">
        <v>172</v>
      </c>
      <c r="G49" s="145" t="s">
        <v>173</v>
      </c>
      <c r="H49" s="145" t="s">
        <v>316</v>
      </c>
      <c r="I49" s="145" t="s">
        <v>175</v>
      </c>
      <c r="J49" s="145" t="s">
        <v>301</v>
      </c>
      <c r="K49" s="145" t="s">
        <v>306</v>
      </c>
      <c r="L49" s="145" t="s">
        <v>267</v>
      </c>
      <c r="M49" s="145" t="s">
        <v>317</v>
      </c>
      <c r="N49" s="145" t="s">
        <v>318</v>
      </c>
      <c r="O49" s="163">
        <v>1</v>
      </c>
      <c r="P49" s="145" t="s">
        <v>319</v>
      </c>
      <c r="Q49" s="145" t="s">
        <v>258</v>
      </c>
      <c r="R49" s="145" t="s">
        <v>258</v>
      </c>
      <c r="S49" s="145" t="s">
        <v>320</v>
      </c>
      <c r="T49" s="145" t="s">
        <v>251</v>
      </c>
      <c r="U49" s="154">
        <v>1</v>
      </c>
      <c r="V49" s="154">
        <v>0.47</v>
      </c>
      <c r="W49" s="154">
        <v>0.53</v>
      </c>
      <c r="X49" s="32">
        <v>0</v>
      </c>
      <c r="Y49" s="32">
        <v>0</v>
      </c>
      <c r="Z49" s="32">
        <v>0</v>
      </c>
      <c r="AA49" s="52">
        <f>5200000+13383951.13</f>
        <v>18583951.130000003</v>
      </c>
      <c r="AB49" s="32">
        <v>0</v>
      </c>
      <c r="AC49" s="43">
        <f t="shared" si="9"/>
        <v>18583951.130000003</v>
      </c>
      <c r="AD49" s="32" t="s">
        <v>279</v>
      </c>
      <c r="AE49" s="32" t="s">
        <v>185</v>
      </c>
      <c r="AF49" s="53">
        <v>0.25</v>
      </c>
      <c r="AG49" s="32">
        <v>0</v>
      </c>
      <c r="AH49" s="32">
        <f t="shared" si="10"/>
        <v>0.25</v>
      </c>
      <c r="AI49" s="52">
        <f>2230658.27+1117500</f>
        <v>3348158.27</v>
      </c>
      <c r="AJ49" s="32">
        <v>0</v>
      </c>
      <c r="AK49" s="290">
        <f t="shared" si="8"/>
        <v>3348158.27</v>
      </c>
      <c r="AL49" s="298">
        <v>11200000</v>
      </c>
      <c r="AM49" s="32"/>
      <c r="AN49" s="32" t="s">
        <v>321</v>
      </c>
    </row>
    <row r="50" spans="1:40" ht="37.15" customHeight="1" thickTop="1" x14ac:dyDescent="0.25">
      <c r="A50" s="166"/>
      <c r="B50" s="166"/>
      <c r="C50" s="166"/>
      <c r="D50" s="166"/>
      <c r="E50" s="166"/>
      <c r="F50" s="166"/>
      <c r="G50" s="166"/>
      <c r="H50" s="166"/>
      <c r="I50" s="166"/>
      <c r="J50" s="166"/>
      <c r="K50" s="166"/>
      <c r="L50" s="166"/>
      <c r="M50" s="166"/>
      <c r="N50" s="166"/>
      <c r="O50" s="144"/>
      <c r="P50" s="144"/>
      <c r="Q50" s="166"/>
      <c r="R50" s="166"/>
      <c r="S50" s="166"/>
      <c r="T50" s="166"/>
      <c r="U50" s="357" t="s">
        <v>322</v>
      </c>
      <c r="V50" s="358"/>
      <c r="W50" s="359"/>
      <c r="X50" s="25"/>
      <c r="Y50" s="25"/>
      <c r="Z50" s="25"/>
      <c r="AA50" s="51">
        <f>+AA39+AA36+AA33+AA31+AA28+AA24+AA22+AA20+AA18</f>
        <v>6434773814.4599991</v>
      </c>
      <c r="AB50" s="51">
        <f t="shared" ref="AB50:AK50" si="12">+AB39+AB36+AB33+AB31+AB28+AB24+AB22+AB20+AB18</f>
        <v>64712704.059999943</v>
      </c>
      <c r="AC50" s="51">
        <f t="shared" si="12"/>
        <v>6499486518.5199995</v>
      </c>
      <c r="AD50" s="51"/>
      <c r="AE50" s="51">
        <f t="shared" si="12"/>
        <v>0</v>
      </c>
      <c r="AF50" s="51"/>
      <c r="AG50" s="51"/>
      <c r="AH50" s="51"/>
      <c r="AI50" s="51">
        <f t="shared" si="12"/>
        <v>687358481.98000014</v>
      </c>
      <c r="AJ50" s="51">
        <f t="shared" si="12"/>
        <v>0</v>
      </c>
      <c r="AK50" s="51">
        <f t="shared" si="12"/>
        <v>687358481.98000014</v>
      </c>
      <c r="AL50" s="51"/>
      <c r="AM50" s="51"/>
      <c r="AN50" s="25"/>
    </row>
    <row r="51" spans="1:40" ht="66.75" customHeight="1" x14ac:dyDescent="0.25">
      <c r="A51" s="22"/>
      <c r="B51" s="22"/>
      <c r="C51" s="22"/>
      <c r="D51" s="22"/>
      <c r="E51" s="22"/>
      <c r="F51" s="22"/>
      <c r="G51" s="22"/>
      <c r="H51" s="22"/>
      <c r="I51" s="22"/>
      <c r="K51" s="22"/>
      <c r="L51" s="22"/>
      <c r="M51" s="22"/>
      <c r="N51" s="22"/>
      <c r="Q51" s="23"/>
      <c r="R51" s="23"/>
      <c r="S51" s="23"/>
      <c r="T51" s="23"/>
      <c r="U51" s="23"/>
      <c r="V51" s="23"/>
      <c r="W51" s="23"/>
      <c r="X51" s="23"/>
      <c r="Y51" s="23"/>
      <c r="Z51" s="23"/>
      <c r="AB51" s="23"/>
      <c r="AC51" s="23"/>
      <c r="AD51" s="23"/>
      <c r="AE51" s="23"/>
      <c r="AF51" s="23"/>
      <c r="AG51" s="23"/>
      <c r="AH51" s="23"/>
      <c r="AI51" s="22"/>
      <c r="AJ51" s="22"/>
      <c r="AK51" s="22"/>
      <c r="AL51" s="22"/>
      <c r="AM51" s="22"/>
      <c r="AN51" s="22"/>
    </row>
    <row r="52" spans="1:40" ht="66.75" customHeight="1" x14ac:dyDescent="0.25">
      <c r="A52" s="22"/>
      <c r="B52" s="22"/>
      <c r="C52" s="22"/>
      <c r="D52" s="22"/>
      <c r="E52" s="22"/>
      <c r="F52" s="22"/>
      <c r="G52" s="22"/>
      <c r="H52" s="22"/>
      <c r="I52" s="22"/>
      <c r="K52" s="22"/>
      <c r="L52" s="22"/>
      <c r="M52" s="22"/>
      <c r="N52" s="22"/>
      <c r="Q52" s="23"/>
      <c r="R52" s="23"/>
      <c r="S52" s="23"/>
      <c r="T52" s="23"/>
      <c r="U52" s="23"/>
      <c r="V52" s="23"/>
      <c r="W52" s="23"/>
      <c r="X52" s="23"/>
      <c r="Y52" s="23"/>
      <c r="Z52" s="23"/>
      <c r="AB52" s="23"/>
      <c r="AC52" s="23"/>
      <c r="AD52" s="23"/>
      <c r="AE52" s="23"/>
      <c r="AF52" s="23"/>
      <c r="AG52" s="23"/>
      <c r="AH52" s="23"/>
      <c r="AI52" s="22"/>
      <c r="AJ52" s="22"/>
      <c r="AK52" s="22"/>
      <c r="AL52" s="22"/>
      <c r="AM52" s="22"/>
      <c r="AN52" s="22"/>
    </row>
    <row r="53" spans="1:40" ht="66.75" customHeight="1" x14ac:dyDescent="0.25">
      <c r="A53" s="22"/>
      <c r="B53" s="22"/>
      <c r="C53" s="22"/>
      <c r="D53" s="22"/>
      <c r="E53" s="22"/>
      <c r="F53" s="22"/>
      <c r="G53" s="22"/>
      <c r="H53" s="22"/>
      <c r="I53" s="22"/>
      <c r="K53" s="22"/>
      <c r="L53" s="22"/>
      <c r="M53" s="22"/>
      <c r="N53" s="22"/>
      <c r="Q53" s="23"/>
      <c r="R53" s="23"/>
      <c r="S53" s="23"/>
      <c r="T53" s="23"/>
      <c r="U53" s="23"/>
      <c r="V53" s="23"/>
      <c r="W53" s="23"/>
      <c r="X53" s="23"/>
      <c r="Y53" s="23"/>
      <c r="Z53" s="23"/>
      <c r="AB53" s="23"/>
      <c r="AC53" s="23"/>
      <c r="AD53" s="23"/>
      <c r="AE53" s="23"/>
      <c r="AF53" s="23"/>
      <c r="AG53" s="23"/>
      <c r="AH53" s="23"/>
      <c r="AI53" s="22"/>
      <c r="AJ53" s="22"/>
      <c r="AK53" s="22"/>
      <c r="AL53" s="22"/>
      <c r="AM53" s="22"/>
      <c r="AN53" s="22"/>
    </row>
    <row r="54" spans="1:40" ht="57.75" customHeight="1" x14ac:dyDescent="0.25">
      <c r="A54" s="22"/>
      <c r="B54" s="22"/>
      <c r="C54" s="22"/>
      <c r="D54" s="22"/>
      <c r="E54" s="22"/>
      <c r="F54" s="22"/>
      <c r="G54" s="22"/>
      <c r="H54" s="22"/>
      <c r="I54" s="22"/>
      <c r="K54" s="22"/>
      <c r="L54" s="22"/>
      <c r="M54" s="22"/>
      <c r="N54" s="22"/>
      <c r="Q54" s="23"/>
      <c r="R54" s="23"/>
      <c r="S54" s="23"/>
      <c r="T54" s="23"/>
      <c r="U54" s="23"/>
      <c r="V54" s="23"/>
      <c r="W54" s="23"/>
      <c r="X54" s="23"/>
      <c r="Y54" s="23"/>
      <c r="Z54" s="23"/>
      <c r="AB54" s="23"/>
      <c r="AC54" s="23"/>
      <c r="AD54" s="23"/>
      <c r="AE54" s="23"/>
      <c r="AF54" s="23"/>
      <c r="AG54" s="23"/>
      <c r="AH54" s="23"/>
      <c r="AI54" s="22"/>
      <c r="AJ54" s="22"/>
      <c r="AK54" s="22"/>
      <c r="AL54" s="22"/>
      <c r="AM54" s="22"/>
      <c r="AN54" s="22"/>
    </row>
    <row r="55" spans="1:40" s="15" customFormat="1" ht="57.75" customHeight="1" thickBot="1" x14ac:dyDescent="0.3">
      <c r="A55" s="22"/>
      <c r="B55" s="22"/>
      <c r="C55" s="22"/>
      <c r="D55" s="22"/>
      <c r="E55" s="22"/>
      <c r="F55" s="22"/>
      <c r="G55" s="22"/>
      <c r="H55" s="22"/>
      <c r="I55" s="22"/>
      <c r="J55" s="22"/>
      <c r="K55" s="18"/>
      <c r="L55" s="22"/>
      <c r="M55" s="22"/>
      <c r="N55" s="22"/>
      <c r="O55" s="23"/>
      <c r="P55" s="23"/>
      <c r="Q55" s="23"/>
      <c r="R55" s="23"/>
      <c r="S55" s="23"/>
      <c r="T55" s="23"/>
      <c r="U55" s="23"/>
      <c r="V55" s="23"/>
      <c r="W55" s="23"/>
      <c r="X55" s="23"/>
      <c r="Y55" s="23"/>
      <c r="Z55" s="23"/>
      <c r="AA55" s="110"/>
      <c r="AB55" s="23"/>
      <c r="AC55" s="23"/>
      <c r="AD55" s="23"/>
      <c r="AE55" s="23"/>
      <c r="AF55" s="23"/>
      <c r="AG55" s="23"/>
      <c r="AH55" s="23"/>
      <c r="AI55" s="22"/>
      <c r="AJ55" s="22"/>
      <c r="AK55" s="22"/>
      <c r="AL55" s="22"/>
      <c r="AM55" s="22"/>
      <c r="AN55" s="22"/>
    </row>
    <row r="56" spans="1:40" s="15" customFormat="1" ht="57.75" customHeight="1" thickTop="1" x14ac:dyDescent="0.25">
      <c r="A56" s="22"/>
      <c r="B56" s="22"/>
      <c r="C56" s="22"/>
      <c r="D56" s="22"/>
      <c r="E56" s="22"/>
      <c r="F56" s="22"/>
      <c r="G56" s="22"/>
      <c r="H56" s="22"/>
      <c r="I56" s="22"/>
      <c r="J56" s="22"/>
      <c r="K56" s="6"/>
      <c r="L56" s="22"/>
      <c r="M56" s="22"/>
      <c r="N56" s="22"/>
      <c r="O56" s="23"/>
      <c r="P56" s="23"/>
      <c r="Q56" s="23"/>
      <c r="R56" s="23"/>
      <c r="S56" s="23"/>
      <c r="T56" s="23"/>
      <c r="U56" s="23"/>
      <c r="V56" s="23"/>
      <c r="W56" s="23"/>
      <c r="X56" s="23"/>
      <c r="Y56" s="23"/>
      <c r="Z56" s="23"/>
      <c r="AA56" s="110"/>
      <c r="AB56" s="23"/>
      <c r="AC56" s="23"/>
      <c r="AD56" s="23"/>
      <c r="AE56" s="23"/>
      <c r="AF56" s="23"/>
      <c r="AG56" s="23"/>
      <c r="AH56" s="23"/>
      <c r="AI56" s="22"/>
      <c r="AJ56" s="22"/>
      <c r="AK56" s="22"/>
      <c r="AL56" s="22"/>
      <c r="AM56" s="22"/>
      <c r="AN56" s="22"/>
    </row>
    <row r="57" spans="1:40" s="15" customFormat="1" ht="57.75" customHeight="1" x14ac:dyDescent="0.25">
      <c r="A57" s="22"/>
      <c r="B57" s="22"/>
      <c r="C57" s="22"/>
      <c r="D57" s="22"/>
      <c r="E57" s="22"/>
      <c r="F57" s="22"/>
      <c r="G57" s="22"/>
      <c r="H57" s="22"/>
      <c r="I57" s="22"/>
      <c r="J57" s="22"/>
      <c r="K57" s="19"/>
      <c r="L57" s="22"/>
      <c r="M57" s="22"/>
      <c r="N57" s="22"/>
      <c r="O57" s="23"/>
      <c r="P57" s="23"/>
      <c r="Q57" s="23"/>
      <c r="R57" s="23"/>
      <c r="S57" s="23"/>
      <c r="T57" s="23"/>
      <c r="U57" s="23"/>
      <c r="V57" s="23"/>
      <c r="W57" s="23"/>
      <c r="X57" s="23"/>
      <c r="Y57" s="23"/>
      <c r="Z57" s="23"/>
      <c r="AA57" s="110"/>
      <c r="AB57" s="23"/>
      <c r="AC57" s="23"/>
      <c r="AD57" s="23"/>
      <c r="AE57" s="23"/>
      <c r="AF57" s="23"/>
      <c r="AG57" s="23"/>
      <c r="AH57" s="23"/>
      <c r="AI57" s="22"/>
      <c r="AJ57" s="22"/>
      <c r="AK57" s="22"/>
      <c r="AL57" s="22"/>
      <c r="AM57" s="22"/>
      <c r="AN57" s="22"/>
    </row>
    <row r="58" spans="1:40" s="15" customFormat="1" ht="57.75" customHeight="1" thickBot="1" x14ac:dyDescent="0.3">
      <c r="A58" s="22"/>
      <c r="B58" s="22"/>
      <c r="C58" s="22"/>
      <c r="D58" s="22"/>
      <c r="E58" s="22"/>
      <c r="F58" s="22"/>
      <c r="G58" s="22"/>
      <c r="H58" s="22"/>
      <c r="I58" s="22"/>
      <c r="J58" s="22"/>
      <c r="K58" s="19"/>
      <c r="L58" s="22"/>
      <c r="M58" s="22"/>
      <c r="N58" s="22"/>
      <c r="O58" s="23"/>
      <c r="P58" s="23"/>
      <c r="Q58" s="23"/>
      <c r="R58" s="23"/>
      <c r="S58" s="23"/>
      <c r="T58" s="23"/>
      <c r="U58" s="23"/>
      <c r="V58" s="23"/>
      <c r="W58" s="23"/>
      <c r="X58" s="23"/>
      <c r="Y58" s="23"/>
      <c r="Z58" s="23"/>
      <c r="AA58" s="110"/>
      <c r="AB58" s="23"/>
      <c r="AC58" s="23"/>
      <c r="AD58" s="23"/>
      <c r="AE58" s="23"/>
      <c r="AF58" s="23"/>
      <c r="AG58" s="23"/>
      <c r="AH58" s="23"/>
      <c r="AI58" s="22"/>
      <c r="AJ58" s="22"/>
      <c r="AK58" s="22"/>
      <c r="AL58" s="22"/>
      <c r="AM58" s="22"/>
      <c r="AN58" s="22"/>
    </row>
    <row r="59" spans="1:40" s="15" customFormat="1" ht="15.75" thickBot="1" x14ac:dyDescent="0.3">
      <c r="A59" s="22"/>
      <c r="B59" s="22"/>
      <c r="C59" s="22"/>
      <c r="D59" s="22"/>
      <c r="E59" s="22"/>
      <c r="F59" s="22"/>
      <c r="G59" s="22"/>
      <c r="H59" s="22"/>
      <c r="I59" s="22"/>
      <c r="J59" s="22"/>
      <c r="K59" s="20"/>
      <c r="L59" s="22"/>
      <c r="M59" s="22"/>
      <c r="N59" s="22"/>
      <c r="O59" s="23"/>
      <c r="P59" s="23"/>
      <c r="Q59" s="23"/>
      <c r="R59" s="23"/>
      <c r="S59" s="23"/>
      <c r="T59" s="23"/>
      <c r="U59" s="23"/>
      <c r="V59" s="23"/>
      <c r="W59" s="23"/>
      <c r="X59" s="23"/>
      <c r="Y59" s="23"/>
      <c r="Z59" s="23"/>
      <c r="AA59" s="110"/>
      <c r="AB59" s="23"/>
      <c r="AC59" s="23"/>
      <c r="AD59" s="23"/>
      <c r="AE59" s="23"/>
      <c r="AF59" s="23"/>
      <c r="AG59" s="23"/>
      <c r="AH59" s="23"/>
      <c r="AI59" s="22"/>
      <c r="AJ59" s="22"/>
      <c r="AK59" s="22"/>
      <c r="AL59" s="22"/>
      <c r="AM59" s="22"/>
      <c r="AN59" s="22"/>
    </row>
    <row r="60" spans="1:40" s="15" customFormat="1" x14ac:dyDescent="0.25">
      <c r="A60" s="22"/>
      <c r="B60" s="22"/>
      <c r="C60" s="22"/>
      <c r="D60" s="22"/>
      <c r="E60" s="22"/>
      <c r="F60" s="22"/>
      <c r="G60" s="22"/>
      <c r="H60" s="22"/>
      <c r="I60" s="22"/>
      <c r="J60" s="22"/>
      <c r="K60" s="22"/>
      <c r="L60" s="22"/>
      <c r="M60" s="22"/>
      <c r="N60" s="22"/>
      <c r="O60" s="23"/>
      <c r="P60" s="23"/>
      <c r="Q60" s="23"/>
      <c r="R60" s="23"/>
      <c r="S60" s="23"/>
      <c r="T60" s="23"/>
      <c r="U60" s="23"/>
      <c r="V60" s="23"/>
      <c r="W60" s="23"/>
      <c r="X60" s="23"/>
      <c r="Y60" s="23"/>
      <c r="Z60" s="23"/>
      <c r="AA60" s="110"/>
      <c r="AB60" s="23"/>
      <c r="AC60" s="23"/>
      <c r="AD60" s="23"/>
      <c r="AE60" s="23"/>
      <c r="AF60" s="23"/>
      <c r="AG60" s="23"/>
      <c r="AH60" s="23"/>
      <c r="AI60" s="22"/>
      <c r="AJ60" s="22"/>
      <c r="AK60" s="22"/>
      <c r="AL60" s="22"/>
      <c r="AM60" s="22"/>
      <c r="AN60" s="22"/>
    </row>
    <row r="61" spans="1:40" s="15" customFormat="1" x14ac:dyDescent="0.25">
      <c r="A61" s="22"/>
      <c r="B61" s="22"/>
      <c r="C61" s="22"/>
      <c r="D61" s="22"/>
      <c r="E61" s="22"/>
      <c r="F61" s="22"/>
      <c r="G61" s="22"/>
      <c r="H61" s="22"/>
      <c r="I61" s="22"/>
      <c r="J61" s="22"/>
      <c r="K61" s="22"/>
      <c r="L61" s="22"/>
      <c r="M61" s="22"/>
      <c r="N61" s="22"/>
      <c r="O61" s="23"/>
      <c r="P61" s="23"/>
      <c r="Q61" s="23"/>
      <c r="R61" s="23"/>
      <c r="S61" s="23"/>
      <c r="T61" s="23"/>
      <c r="U61" s="23"/>
      <c r="V61" s="23"/>
      <c r="W61" s="23"/>
      <c r="X61" s="23"/>
      <c r="Y61" s="23"/>
      <c r="Z61" s="23"/>
      <c r="AA61" s="110"/>
      <c r="AB61" s="23"/>
      <c r="AC61" s="23"/>
      <c r="AD61" s="23"/>
      <c r="AE61" s="23"/>
      <c r="AF61" s="23"/>
      <c r="AG61" s="23"/>
      <c r="AH61" s="23"/>
      <c r="AI61" s="22"/>
      <c r="AJ61" s="22"/>
      <c r="AK61" s="22"/>
      <c r="AL61" s="22"/>
      <c r="AM61" s="22"/>
      <c r="AN61" s="22"/>
    </row>
    <row r="62" spans="1:40" s="15" customFormat="1" x14ac:dyDescent="0.25">
      <c r="A62" s="22"/>
      <c r="B62" s="22"/>
      <c r="C62" s="22"/>
      <c r="D62" s="22"/>
      <c r="E62" s="22"/>
      <c r="F62" s="22"/>
      <c r="G62" s="22"/>
      <c r="H62" s="22"/>
      <c r="I62" s="22"/>
      <c r="J62" s="22"/>
      <c r="K62" s="22"/>
      <c r="L62" s="22"/>
      <c r="M62" s="22"/>
      <c r="N62" s="22"/>
      <c r="O62" s="23"/>
      <c r="P62" s="23"/>
      <c r="Q62" s="23"/>
      <c r="R62" s="23"/>
      <c r="S62" s="23"/>
      <c r="T62" s="23"/>
      <c r="U62" s="23"/>
      <c r="V62" s="23"/>
      <c r="W62" s="23"/>
      <c r="X62" s="23"/>
      <c r="Y62" s="23"/>
      <c r="Z62" s="23"/>
      <c r="AA62" s="110"/>
      <c r="AB62" s="23"/>
      <c r="AC62" s="23"/>
      <c r="AD62" s="23"/>
      <c r="AE62" s="23"/>
      <c r="AF62" s="23"/>
      <c r="AG62" s="23"/>
      <c r="AH62" s="23"/>
      <c r="AI62" s="22"/>
      <c r="AJ62" s="22"/>
      <c r="AK62" s="22"/>
      <c r="AL62" s="22"/>
      <c r="AM62" s="22"/>
      <c r="AN62" s="22"/>
    </row>
    <row r="63" spans="1:40" s="15" customFormat="1" x14ac:dyDescent="0.25">
      <c r="A63" s="22"/>
      <c r="B63" s="22"/>
      <c r="C63" s="22"/>
      <c r="D63" s="22"/>
      <c r="E63" s="22"/>
      <c r="F63" s="22"/>
      <c r="G63" s="22"/>
      <c r="H63" s="22"/>
      <c r="I63" s="22"/>
      <c r="J63" s="22"/>
      <c r="K63" s="22"/>
      <c r="L63" s="22"/>
      <c r="M63" s="22"/>
      <c r="N63" s="22"/>
      <c r="O63" s="23"/>
      <c r="P63" s="23"/>
      <c r="Q63" s="23"/>
      <c r="R63" s="23"/>
      <c r="S63" s="23"/>
      <c r="T63" s="23"/>
      <c r="U63" s="23"/>
      <c r="V63" s="23"/>
      <c r="W63" s="23"/>
      <c r="X63" s="23"/>
      <c r="Y63" s="23"/>
      <c r="Z63" s="23"/>
      <c r="AA63" s="110"/>
      <c r="AB63" s="23"/>
      <c r="AC63" s="23"/>
      <c r="AD63" s="23"/>
      <c r="AE63" s="23"/>
      <c r="AF63" s="23"/>
      <c r="AG63" s="23"/>
      <c r="AH63" s="23"/>
      <c r="AI63" s="22"/>
      <c r="AJ63" s="22"/>
      <c r="AK63" s="22"/>
      <c r="AL63" s="22"/>
      <c r="AM63" s="22"/>
      <c r="AN63" s="22"/>
    </row>
    <row r="64" spans="1:40" s="15" customFormat="1" x14ac:dyDescent="0.25">
      <c r="A64" s="22"/>
      <c r="B64" s="22"/>
      <c r="C64" s="22"/>
      <c r="D64" s="22"/>
      <c r="E64" s="22"/>
      <c r="F64" s="22"/>
      <c r="G64" s="22"/>
      <c r="H64" s="22"/>
      <c r="I64" s="22"/>
      <c r="J64" s="22"/>
      <c r="K64" s="22"/>
      <c r="L64" s="22"/>
      <c r="M64" s="22"/>
      <c r="N64" s="22"/>
      <c r="O64" s="23"/>
      <c r="P64" s="23"/>
      <c r="Q64" s="23"/>
      <c r="R64" s="23"/>
      <c r="S64" s="23"/>
      <c r="T64" s="23"/>
      <c r="U64" s="23"/>
      <c r="V64" s="23"/>
      <c r="W64" s="23"/>
      <c r="X64" s="23"/>
      <c r="Y64" s="23"/>
      <c r="Z64" s="23"/>
      <c r="AA64" s="110"/>
      <c r="AB64" s="23"/>
      <c r="AC64" s="23"/>
      <c r="AD64" s="23"/>
      <c r="AE64" s="23"/>
      <c r="AF64" s="23"/>
      <c r="AG64" s="23"/>
      <c r="AH64" s="23"/>
      <c r="AI64" s="22"/>
      <c r="AJ64" s="22"/>
      <c r="AK64" s="22"/>
      <c r="AL64" s="22"/>
      <c r="AM64" s="22"/>
      <c r="AN64" s="22"/>
    </row>
    <row r="65" spans="1:40" s="15" customFormat="1" x14ac:dyDescent="0.25">
      <c r="A65" s="22"/>
      <c r="B65" s="22"/>
      <c r="C65" s="22"/>
      <c r="D65" s="22"/>
      <c r="E65" s="22"/>
      <c r="F65" s="22"/>
      <c r="G65" s="22"/>
      <c r="H65" s="22"/>
      <c r="I65" s="22"/>
      <c r="J65" s="22"/>
      <c r="K65" s="22"/>
      <c r="L65" s="22"/>
      <c r="M65" s="22"/>
      <c r="N65" s="22"/>
      <c r="O65" s="23"/>
      <c r="P65" s="23"/>
      <c r="Q65" s="23"/>
      <c r="R65" s="23"/>
      <c r="S65" s="23"/>
      <c r="T65" s="23"/>
      <c r="U65" s="23"/>
      <c r="V65" s="23"/>
      <c r="W65" s="23"/>
      <c r="X65" s="23"/>
      <c r="Y65" s="23"/>
      <c r="Z65" s="23"/>
      <c r="AA65" s="110"/>
      <c r="AB65" s="23"/>
      <c r="AC65" s="23"/>
      <c r="AD65" s="23"/>
      <c r="AE65" s="23"/>
      <c r="AF65" s="23"/>
      <c r="AG65" s="23"/>
      <c r="AH65" s="23"/>
      <c r="AI65" s="22"/>
      <c r="AJ65" s="22"/>
      <c r="AK65" s="22"/>
      <c r="AL65" s="22"/>
      <c r="AM65" s="22"/>
      <c r="AN65" s="22"/>
    </row>
    <row r="66" spans="1:40" s="15" customFormat="1" x14ac:dyDescent="0.25">
      <c r="A66" s="22"/>
      <c r="B66" s="22"/>
      <c r="C66" s="22"/>
      <c r="D66" s="22"/>
      <c r="E66" s="22"/>
      <c r="F66" s="22"/>
      <c r="G66" s="22"/>
      <c r="H66" s="22"/>
      <c r="I66" s="22"/>
      <c r="J66" s="22"/>
      <c r="K66" s="22"/>
      <c r="L66" s="22"/>
      <c r="M66" s="22"/>
      <c r="N66" s="22"/>
      <c r="O66" s="23"/>
      <c r="P66" s="23"/>
      <c r="Q66" s="23"/>
      <c r="R66" s="23"/>
      <c r="S66" s="23"/>
      <c r="T66" s="23"/>
      <c r="U66" s="23"/>
      <c r="V66" s="23"/>
      <c r="W66" s="23"/>
      <c r="X66" s="23"/>
      <c r="Y66" s="23"/>
      <c r="Z66" s="23"/>
      <c r="AA66" s="110"/>
      <c r="AB66" s="23"/>
      <c r="AC66" s="23"/>
      <c r="AD66" s="23"/>
      <c r="AE66" s="23"/>
      <c r="AF66" s="23"/>
      <c r="AG66" s="23"/>
      <c r="AH66" s="23"/>
      <c r="AI66" s="22"/>
      <c r="AJ66" s="22"/>
      <c r="AK66" s="22"/>
      <c r="AL66" s="22"/>
      <c r="AM66" s="22"/>
      <c r="AN66" s="22"/>
    </row>
    <row r="67" spans="1:40" s="15" customFormat="1" x14ac:dyDescent="0.25">
      <c r="A67" s="22"/>
      <c r="B67" s="22"/>
      <c r="C67" s="22"/>
      <c r="D67" s="22"/>
      <c r="E67" s="22"/>
      <c r="F67" s="22"/>
      <c r="G67" s="22"/>
      <c r="H67" s="22"/>
      <c r="I67" s="22"/>
      <c r="J67" s="22"/>
      <c r="K67" s="22"/>
      <c r="L67" s="22"/>
      <c r="M67" s="22"/>
      <c r="N67" s="22"/>
      <c r="O67" s="23"/>
      <c r="P67" s="23"/>
      <c r="Q67" s="23"/>
      <c r="R67" s="23"/>
      <c r="S67" s="23"/>
      <c r="T67" s="23"/>
      <c r="U67" s="23"/>
      <c r="V67" s="23"/>
      <c r="W67" s="23"/>
      <c r="X67" s="23"/>
      <c r="Y67" s="23"/>
      <c r="Z67" s="23"/>
      <c r="AA67" s="110"/>
      <c r="AB67" s="23"/>
      <c r="AC67" s="23"/>
      <c r="AD67" s="23"/>
      <c r="AE67" s="23"/>
      <c r="AF67" s="23"/>
      <c r="AG67" s="23"/>
      <c r="AH67" s="23"/>
      <c r="AI67" s="22"/>
      <c r="AJ67" s="22"/>
      <c r="AK67" s="22"/>
      <c r="AL67" s="22"/>
      <c r="AM67" s="22"/>
      <c r="AN67" s="22"/>
    </row>
    <row r="68" spans="1:40" s="15" customFormat="1" x14ac:dyDescent="0.25">
      <c r="A68" s="22"/>
      <c r="B68" s="22"/>
      <c r="C68" s="22"/>
      <c r="D68" s="22"/>
      <c r="E68" s="22"/>
      <c r="F68" s="22"/>
      <c r="G68" s="22"/>
      <c r="H68" s="22"/>
      <c r="I68" s="22"/>
      <c r="J68" s="22"/>
      <c r="K68" s="22"/>
      <c r="L68" s="22"/>
      <c r="M68" s="22"/>
      <c r="N68" s="21"/>
      <c r="O68" s="23"/>
      <c r="P68" s="23"/>
      <c r="Q68" s="23"/>
      <c r="R68" s="23"/>
      <c r="S68" s="23"/>
      <c r="T68" s="23"/>
      <c r="U68" s="23"/>
      <c r="V68" s="23"/>
      <c r="W68" s="23"/>
      <c r="X68" s="23"/>
      <c r="Y68" s="23"/>
      <c r="Z68" s="23"/>
      <c r="AA68" s="110"/>
      <c r="AB68" s="23"/>
      <c r="AC68" s="23"/>
      <c r="AD68" s="23"/>
      <c r="AE68" s="23"/>
      <c r="AF68" s="23"/>
      <c r="AG68" s="23"/>
      <c r="AH68" s="23"/>
      <c r="AI68" s="22"/>
      <c r="AJ68" s="22"/>
      <c r="AK68" s="22"/>
      <c r="AL68" s="22"/>
      <c r="AM68" s="22"/>
      <c r="AN68" s="22"/>
    </row>
    <row r="69" spans="1:40" s="15" customFormat="1" x14ac:dyDescent="0.25">
      <c r="A69" s="22"/>
      <c r="B69" s="22"/>
      <c r="C69" s="22"/>
      <c r="D69" s="22"/>
      <c r="E69" s="22"/>
      <c r="F69" s="22"/>
      <c r="G69" s="22"/>
      <c r="H69" s="22"/>
      <c r="I69" s="22"/>
      <c r="J69" s="22"/>
      <c r="K69" s="22"/>
      <c r="L69" s="22"/>
      <c r="M69" s="22"/>
      <c r="N69" s="21"/>
      <c r="O69" s="23"/>
      <c r="P69" s="23"/>
      <c r="Q69" s="23"/>
      <c r="R69" s="23"/>
      <c r="S69" s="23"/>
      <c r="T69" s="23"/>
      <c r="U69" s="23"/>
      <c r="V69" s="23"/>
      <c r="W69" s="23"/>
      <c r="X69" s="23"/>
      <c r="Y69" s="23"/>
      <c r="Z69" s="23"/>
      <c r="AA69" s="110"/>
      <c r="AB69" s="23"/>
      <c r="AC69" s="23"/>
      <c r="AD69" s="23"/>
      <c r="AE69" s="23"/>
      <c r="AF69" s="23"/>
      <c r="AG69" s="23"/>
      <c r="AH69" s="23"/>
      <c r="AI69" s="22"/>
      <c r="AJ69" s="22"/>
      <c r="AK69" s="22"/>
      <c r="AL69" s="22"/>
      <c r="AM69" s="22"/>
      <c r="AN69" s="22"/>
    </row>
    <row r="70" spans="1:40" s="15" customFormat="1" x14ac:dyDescent="0.25">
      <c r="A70" s="22"/>
      <c r="B70" s="22"/>
      <c r="C70" s="22"/>
      <c r="D70" s="22"/>
      <c r="E70" s="22"/>
      <c r="F70" s="22"/>
      <c r="G70" s="22"/>
      <c r="H70" s="22"/>
      <c r="I70" s="22"/>
      <c r="J70" s="22"/>
      <c r="K70" s="22"/>
      <c r="L70" s="22"/>
      <c r="M70" s="22"/>
      <c r="N70" s="21"/>
      <c r="O70" s="23"/>
      <c r="P70" s="23"/>
      <c r="Q70" s="23"/>
      <c r="R70" s="23"/>
      <c r="S70" s="23"/>
      <c r="T70" s="23"/>
      <c r="U70" s="23"/>
      <c r="V70" s="23"/>
      <c r="W70" s="23"/>
      <c r="X70" s="23"/>
      <c r="Y70" s="23"/>
      <c r="Z70" s="23"/>
      <c r="AA70" s="110"/>
      <c r="AB70" s="23"/>
      <c r="AC70" s="23"/>
      <c r="AD70" s="23"/>
      <c r="AE70" s="23"/>
      <c r="AF70" s="23"/>
      <c r="AG70" s="23"/>
      <c r="AH70" s="23"/>
      <c r="AI70" s="22"/>
      <c r="AJ70" s="22"/>
      <c r="AK70" s="22"/>
      <c r="AL70" s="22"/>
      <c r="AM70" s="22"/>
      <c r="AN70" s="22"/>
    </row>
    <row r="71" spans="1:40" s="15" customFormat="1" x14ac:dyDescent="0.25">
      <c r="A71" s="22"/>
      <c r="B71" s="22"/>
      <c r="C71" s="22"/>
      <c r="D71" s="22"/>
      <c r="E71" s="22"/>
      <c r="F71" s="22"/>
      <c r="G71" s="22"/>
      <c r="H71" s="22"/>
      <c r="I71" s="22"/>
      <c r="J71" s="22"/>
      <c r="K71" s="22"/>
      <c r="L71" s="22"/>
      <c r="M71" s="22"/>
      <c r="N71" s="21"/>
      <c r="O71" s="23"/>
      <c r="P71" s="23"/>
      <c r="Q71" s="23"/>
      <c r="R71" s="23"/>
      <c r="S71" s="23"/>
      <c r="T71" s="23"/>
      <c r="U71" s="23"/>
      <c r="V71" s="23"/>
      <c r="W71" s="23"/>
      <c r="X71" s="23"/>
      <c r="Y71" s="23"/>
      <c r="Z71" s="23"/>
      <c r="AA71" s="110"/>
      <c r="AB71" s="23"/>
      <c r="AC71" s="23"/>
      <c r="AD71" s="23"/>
      <c r="AE71" s="23"/>
      <c r="AF71" s="23"/>
      <c r="AG71" s="23"/>
      <c r="AH71" s="23"/>
      <c r="AI71" s="22"/>
      <c r="AJ71" s="22"/>
      <c r="AK71" s="22"/>
      <c r="AL71" s="22"/>
      <c r="AM71" s="22"/>
      <c r="AN71" s="22"/>
    </row>
    <row r="72" spans="1:40" s="15" customFormat="1" x14ac:dyDescent="0.25">
      <c r="A72" s="22"/>
      <c r="B72" s="22"/>
      <c r="C72" s="22"/>
      <c r="D72" s="22"/>
      <c r="E72" s="22"/>
      <c r="F72" s="22"/>
      <c r="G72" s="22"/>
      <c r="H72" s="22"/>
      <c r="I72" s="22"/>
      <c r="J72" s="22"/>
      <c r="K72" s="22"/>
      <c r="L72" s="22"/>
      <c r="M72" s="22"/>
      <c r="N72" s="21"/>
      <c r="O72" s="23"/>
      <c r="P72" s="23"/>
      <c r="Q72" s="23"/>
      <c r="R72" s="23"/>
      <c r="S72" s="23"/>
      <c r="T72" s="23"/>
      <c r="U72" s="23"/>
      <c r="V72" s="23"/>
      <c r="W72" s="23"/>
      <c r="X72" s="23"/>
      <c r="Y72" s="23"/>
      <c r="Z72" s="23"/>
      <c r="AA72" s="110"/>
      <c r="AB72" s="23"/>
      <c r="AC72" s="23"/>
      <c r="AD72" s="23"/>
      <c r="AE72" s="23"/>
      <c r="AF72" s="23"/>
      <c r="AG72" s="23"/>
      <c r="AH72" s="23"/>
      <c r="AI72" s="22"/>
      <c r="AJ72" s="22"/>
      <c r="AK72" s="22"/>
      <c r="AL72" s="22"/>
      <c r="AM72" s="22"/>
      <c r="AN72" s="22"/>
    </row>
    <row r="73" spans="1:40" s="15" customFormat="1" x14ac:dyDescent="0.25">
      <c r="A73" s="22"/>
      <c r="B73" s="22"/>
      <c r="C73" s="22"/>
      <c r="D73" s="22"/>
      <c r="E73" s="22"/>
      <c r="F73" s="22"/>
      <c r="G73" s="22"/>
      <c r="H73" s="22"/>
      <c r="I73" s="22"/>
      <c r="J73" s="22"/>
      <c r="K73" s="22"/>
      <c r="L73" s="22"/>
      <c r="M73" s="22"/>
      <c r="N73" s="21"/>
      <c r="O73" s="23"/>
      <c r="P73" s="23"/>
      <c r="Q73" s="23"/>
      <c r="R73" s="23"/>
      <c r="S73" s="23"/>
      <c r="T73" s="23"/>
      <c r="U73" s="23"/>
      <c r="V73" s="23"/>
      <c r="W73" s="23"/>
      <c r="X73" s="23"/>
      <c r="Y73" s="23"/>
      <c r="Z73" s="23"/>
      <c r="AA73" s="110"/>
      <c r="AB73" s="23"/>
      <c r="AC73" s="23"/>
      <c r="AD73" s="23"/>
      <c r="AE73" s="23"/>
      <c r="AF73" s="23"/>
      <c r="AG73" s="23"/>
      <c r="AH73" s="23"/>
      <c r="AI73" s="22"/>
      <c r="AJ73" s="22"/>
      <c r="AK73" s="22"/>
      <c r="AL73" s="22"/>
      <c r="AM73" s="22"/>
      <c r="AN73" s="22"/>
    </row>
    <row r="74" spans="1:40" s="15" customFormat="1" x14ac:dyDescent="0.25">
      <c r="A74" s="22"/>
      <c r="B74" s="22"/>
      <c r="C74" s="22"/>
      <c r="D74" s="22"/>
      <c r="E74" s="22"/>
      <c r="F74" s="22"/>
      <c r="G74" s="22"/>
      <c r="H74" s="22"/>
      <c r="I74" s="22"/>
      <c r="J74" s="22"/>
      <c r="K74" s="22"/>
      <c r="L74" s="22"/>
      <c r="M74" s="22"/>
      <c r="N74" s="21"/>
      <c r="O74" s="23"/>
      <c r="P74" s="23"/>
      <c r="Q74" s="23"/>
      <c r="R74" s="23"/>
      <c r="S74" s="23"/>
      <c r="T74" s="23"/>
      <c r="U74" s="23"/>
      <c r="V74" s="23"/>
      <c r="W74" s="23"/>
      <c r="X74" s="23"/>
      <c r="Y74" s="23"/>
      <c r="Z74" s="23"/>
      <c r="AA74" s="110"/>
      <c r="AB74" s="23"/>
      <c r="AC74" s="23"/>
      <c r="AD74" s="23"/>
      <c r="AE74" s="23"/>
      <c r="AF74" s="23"/>
      <c r="AG74" s="23"/>
      <c r="AH74" s="23"/>
      <c r="AI74" s="22"/>
      <c r="AJ74" s="22"/>
      <c r="AK74" s="22"/>
      <c r="AL74" s="22"/>
      <c r="AM74" s="22"/>
      <c r="AN74" s="22"/>
    </row>
    <row r="75" spans="1:40" s="15" customFormat="1" x14ac:dyDescent="0.25">
      <c r="A75" s="22"/>
      <c r="B75" s="22"/>
      <c r="C75" s="22"/>
      <c r="D75" s="22"/>
      <c r="E75" s="22"/>
      <c r="F75" s="22"/>
      <c r="G75" s="22"/>
      <c r="H75" s="22"/>
      <c r="I75" s="22"/>
      <c r="J75" s="22"/>
      <c r="K75" s="22"/>
      <c r="L75" s="22"/>
      <c r="M75" s="22"/>
      <c r="N75" s="21"/>
      <c r="O75" s="23"/>
      <c r="P75" s="23"/>
      <c r="Q75" s="23"/>
      <c r="R75" s="23"/>
      <c r="S75" s="23"/>
      <c r="T75" s="23"/>
      <c r="U75" s="23"/>
      <c r="V75" s="23"/>
      <c r="W75" s="23"/>
      <c r="X75" s="23"/>
      <c r="Y75" s="23"/>
      <c r="Z75" s="23"/>
      <c r="AA75" s="110"/>
      <c r="AB75" s="23"/>
      <c r="AC75" s="23"/>
      <c r="AD75" s="23"/>
      <c r="AE75" s="23"/>
      <c r="AF75" s="23"/>
      <c r="AG75" s="23"/>
      <c r="AH75" s="23"/>
      <c r="AI75" s="22"/>
      <c r="AJ75" s="22"/>
      <c r="AK75" s="22"/>
      <c r="AL75" s="22"/>
      <c r="AM75" s="22"/>
      <c r="AN75" s="22"/>
    </row>
    <row r="76" spans="1:40" s="15" customFormat="1" x14ac:dyDescent="0.25">
      <c r="A76" s="22"/>
      <c r="B76" s="22"/>
      <c r="C76" s="22"/>
      <c r="D76" s="22"/>
      <c r="E76" s="22"/>
      <c r="F76" s="22"/>
      <c r="G76" s="22"/>
      <c r="H76" s="22"/>
      <c r="I76" s="22"/>
      <c r="J76" s="22"/>
      <c r="K76" s="22"/>
      <c r="L76" s="22"/>
      <c r="M76" s="22"/>
      <c r="N76" s="21"/>
      <c r="O76" s="23"/>
      <c r="P76" s="23"/>
      <c r="Q76" s="23"/>
      <c r="R76" s="23"/>
      <c r="S76" s="23"/>
      <c r="T76" s="23"/>
      <c r="U76" s="23"/>
      <c r="V76" s="23"/>
      <c r="W76" s="23"/>
      <c r="X76" s="23"/>
      <c r="Y76" s="23"/>
      <c r="Z76" s="23"/>
      <c r="AA76" s="110"/>
      <c r="AB76" s="23"/>
      <c r="AC76" s="23"/>
      <c r="AD76" s="23"/>
      <c r="AE76" s="23"/>
      <c r="AF76" s="23"/>
      <c r="AG76" s="23"/>
      <c r="AH76" s="23"/>
      <c r="AI76" s="22"/>
      <c r="AJ76" s="22"/>
      <c r="AK76" s="22"/>
      <c r="AL76" s="22"/>
      <c r="AM76" s="22"/>
      <c r="AN76" s="22"/>
    </row>
    <row r="77" spans="1:40" s="15" customFormat="1" x14ac:dyDescent="0.25">
      <c r="A77" s="22"/>
      <c r="B77" s="22"/>
      <c r="C77" s="22"/>
      <c r="D77" s="22"/>
      <c r="E77" s="22"/>
      <c r="F77" s="22"/>
      <c r="G77" s="22"/>
      <c r="H77" s="22"/>
      <c r="I77" s="22"/>
      <c r="J77" s="22"/>
      <c r="K77" s="22"/>
      <c r="L77" s="22"/>
      <c r="M77" s="22"/>
      <c r="N77" s="21"/>
      <c r="O77" s="23"/>
      <c r="P77" s="23"/>
      <c r="Q77" s="23"/>
      <c r="R77" s="23"/>
      <c r="S77" s="23"/>
      <c r="T77" s="23"/>
      <c r="U77" s="23"/>
      <c r="V77" s="23"/>
      <c r="W77" s="23"/>
      <c r="X77" s="23"/>
      <c r="Y77" s="23"/>
      <c r="Z77" s="23"/>
      <c r="AA77" s="110"/>
      <c r="AB77" s="23"/>
      <c r="AC77" s="23"/>
      <c r="AD77" s="23"/>
      <c r="AE77" s="23"/>
      <c r="AF77" s="23"/>
      <c r="AG77" s="23"/>
      <c r="AH77" s="23"/>
      <c r="AI77" s="22"/>
      <c r="AJ77" s="22"/>
      <c r="AK77" s="22"/>
      <c r="AL77" s="22"/>
      <c r="AM77" s="22"/>
      <c r="AN77" s="22"/>
    </row>
    <row r="78" spans="1:40" s="15" customFormat="1" x14ac:dyDescent="0.25">
      <c r="A78" s="22"/>
      <c r="B78" s="22"/>
      <c r="C78" s="22"/>
      <c r="D78" s="22"/>
      <c r="E78" s="22"/>
      <c r="F78" s="22"/>
      <c r="G78" s="22"/>
      <c r="H78" s="22"/>
      <c r="I78" s="22"/>
      <c r="J78" s="22"/>
      <c r="K78" s="22"/>
      <c r="L78" s="22"/>
      <c r="M78" s="22"/>
      <c r="N78" s="21"/>
      <c r="O78" s="23"/>
      <c r="P78" s="23"/>
      <c r="Q78" s="23"/>
      <c r="R78" s="23"/>
      <c r="S78" s="23"/>
      <c r="T78" s="23"/>
      <c r="U78" s="23"/>
      <c r="V78" s="23"/>
      <c r="W78" s="23"/>
      <c r="X78" s="23"/>
      <c r="Y78" s="23"/>
      <c r="Z78" s="23"/>
      <c r="AA78" s="110"/>
      <c r="AB78" s="23"/>
      <c r="AC78" s="23"/>
      <c r="AD78" s="23"/>
      <c r="AE78" s="23"/>
      <c r="AF78" s="23"/>
      <c r="AG78" s="23"/>
      <c r="AH78" s="23"/>
      <c r="AI78" s="22"/>
      <c r="AJ78" s="22"/>
      <c r="AK78" s="22"/>
      <c r="AL78" s="22"/>
      <c r="AM78" s="22"/>
      <c r="AN78" s="22"/>
    </row>
    <row r="79" spans="1:40" s="15" customFormat="1" x14ac:dyDescent="0.25">
      <c r="A79" s="22"/>
      <c r="B79" s="22"/>
      <c r="C79" s="22"/>
      <c r="D79" s="22"/>
      <c r="E79" s="22"/>
      <c r="F79" s="22"/>
      <c r="G79" s="22"/>
      <c r="H79" s="22"/>
      <c r="I79" s="22"/>
      <c r="J79" s="22"/>
      <c r="K79" s="22"/>
      <c r="L79" s="22"/>
      <c r="M79" s="22"/>
      <c r="N79" s="21"/>
      <c r="O79" s="23"/>
      <c r="P79" s="23"/>
      <c r="Q79" s="23"/>
      <c r="R79" s="23"/>
      <c r="S79" s="23"/>
      <c r="T79" s="23"/>
      <c r="U79" s="23"/>
      <c r="V79" s="23"/>
      <c r="W79" s="23"/>
      <c r="X79" s="23"/>
      <c r="Y79" s="23"/>
      <c r="Z79" s="23"/>
      <c r="AA79" s="110"/>
      <c r="AB79" s="23"/>
      <c r="AC79" s="23"/>
      <c r="AD79" s="23"/>
      <c r="AE79" s="23"/>
      <c r="AF79" s="23"/>
      <c r="AG79" s="23"/>
      <c r="AH79" s="23"/>
      <c r="AI79" s="22"/>
      <c r="AJ79" s="22"/>
      <c r="AK79" s="22"/>
      <c r="AL79" s="22"/>
      <c r="AM79" s="22"/>
      <c r="AN79" s="22"/>
    </row>
    <row r="80" spans="1:40" s="15" customFormat="1" x14ac:dyDescent="0.25">
      <c r="A80" s="22"/>
      <c r="B80" s="22"/>
      <c r="C80" s="22"/>
      <c r="D80" s="22"/>
      <c r="E80" s="22"/>
      <c r="F80" s="22"/>
      <c r="G80" s="22"/>
      <c r="H80" s="22"/>
      <c r="I80" s="22"/>
      <c r="J80" s="22"/>
      <c r="K80" s="22"/>
      <c r="L80" s="22"/>
      <c r="M80" s="22"/>
      <c r="N80" s="21"/>
      <c r="O80" s="23"/>
      <c r="P80" s="23"/>
      <c r="Q80" s="23"/>
      <c r="R80" s="23"/>
      <c r="S80" s="23"/>
      <c r="T80" s="23"/>
      <c r="U80" s="23"/>
      <c r="V80" s="23"/>
      <c r="W80" s="23"/>
      <c r="X80" s="23"/>
      <c r="Y80" s="23"/>
      <c r="Z80" s="23"/>
      <c r="AA80" s="110"/>
      <c r="AB80" s="23"/>
      <c r="AC80" s="23"/>
      <c r="AD80" s="23"/>
      <c r="AE80" s="23"/>
      <c r="AF80" s="23"/>
      <c r="AG80" s="23"/>
      <c r="AH80" s="23"/>
      <c r="AI80" s="22"/>
      <c r="AJ80" s="22"/>
      <c r="AK80" s="22"/>
      <c r="AL80" s="22"/>
      <c r="AM80" s="22"/>
      <c r="AN80" s="22"/>
    </row>
    <row r="81" spans="1:40" s="15" customFormat="1" x14ac:dyDescent="0.25">
      <c r="A81" s="22"/>
      <c r="B81" s="22"/>
      <c r="C81" s="22"/>
      <c r="D81" s="22"/>
      <c r="E81" s="22"/>
      <c r="F81" s="22"/>
      <c r="G81" s="22"/>
      <c r="H81" s="22"/>
      <c r="I81" s="22"/>
      <c r="J81" s="22"/>
      <c r="K81" s="22"/>
      <c r="L81" s="22"/>
      <c r="M81" s="22"/>
      <c r="N81" s="21"/>
      <c r="O81" s="23"/>
      <c r="P81" s="23"/>
      <c r="Q81" s="23"/>
      <c r="R81" s="23"/>
      <c r="S81" s="23"/>
      <c r="T81" s="23"/>
      <c r="U81" s="23"/>
      <c r="V81" s="23"/>
      <c r="W81" s="23"/>
      <c r="X81" s="23"/>
      <c r="Y81" s="23"/>
      <c r="Z81" s="23"/>
      <c r="AA81" s="110"/>
      <c r="AB81" s="23"/>
      <c r="AC81" s="23"/>
      <c r="AD81" s="23"/>
      <c r="AE81" s="23"/>
      <c r="AF81" s="23"/>
      <c r="AG81" s="23"/>
      <c r="AH81" s="23"/>
      <c r="AI81" s="22"/>
      <c r="AJ81" s="22"/>
      <c r="AK81" s="22"/>
      <c r="AL81" s="22"/>
      <c r="AM81" s="22"/>
      <c r="AN81" s="22"/>
    </row>
    <row r="82" spans="1:40" s="15" customFormat="1" x14ac:dyDescent="0.25">
      <c r="A82" s="22"/>
      <c r="B82" s="22"/>
      <c r="C82" s="22"/>
      <c r="D82" s="22"/>
      <c r="E82" s="22"/>
      <c r="F82" s="22"/>
      <c r="G82" s="22"/>
      <c r="H82" s="22"/>
      <c r="I82" s="22"/>
      <c r="J82" s="22"/>
      <c r="K82" s="22"/>
      <c r="L82" s="22"/>
      <c r="M82" s="22"/>
      <c r="N82" s="21"/>
      <c r="O82" s="23"/>
      <c r="P82" s="23"/>
      <c r="Q82" s="23"/>
      <c r="R82" s="23"/>
      <c r="S82" s="23"/>
      <c r="T82" s="23"/>
      <c r="U82" s="23"/>
      <c r="V82" s="23"/>
      <c r="W82" s="23"/>
      <c r="X82" s="23"/>
      <c r="Y82" s="23"/>
      <c r="Z82" s="23"/>
      <c r="AA82" s="110"/>
      <c r="AB82" s="23"/>
      <c r="AC82" s="23"/>
      <c r="AD82" s="23"/>
      <c r="AE82" s="23"/>
      <c r="AF82" s="23"/>
      <c r="AG82" s="23"/>
      <c r="AH82" s="23"/>
      <c r="AI82" s="22"/>
      <c r="AJ82" s="22"/>
      <c r="AK82" s="22"/>
      <c r="AL82" s="22"/>
      <c r="AM82" s="22"/>
      <c r="AN82" s="22"/>
    </row>
    <row r="83" spans="1:40" s="15" customFormat="1" x14ac:dyDescent="0.25">
      <c r="A83" s="22"/>
      <c r="B83" s="22"/>
      <c r="C83" s="22"/>
      <c r="D83" s="22"/>
      <c r="E83" s="22"/>
      <c r="F83" s="22"/>
      <c r="G83" s="22"/>
      <c r="H83" s="22"/>
      <c r="I83" s="22"/>
      <c r="J83" s="22"/>
      <c r="K83" s="22"/>
      <c r="L83" s="22"/>
      <c r="M83" s="22"/>
      <c r="N83" s="21"/>
      <c r="O83" s="23"/>
      <c r="P83" s="23"/>
      <c r="Q83" s="23"/>
      <c r="R83" s="23"/>
      <c r="S83" s="23"/>
      <c r="T83" s="23"/>
      <c r="U83" s="23"/>
      <c r="V83" s="23"/>
      <c r="W83" s="23"/>
      <c r="X83" s="23"/>
      <c r="Y83" s="23"/>
      <c r="Z83" s="23"/>
      <c r="AA83" s="110"/>
      <c r="AB83" s="23"/>
      <c r="AC83" s="23"/>
      <c r="AD83" s="23"/>
      <c r="AE83" s="23"/>
      <c r="AF83" s="23"/>
      <c r="AG83" s="23"/>
      <c r="AH83" s="23"/>
      <c r="AI83" s="22"/>
      <c r="AJ83" s="22"/>
      <c r="AK83" s="22"/>
      <c r="AL83" s="22"/>
      <c r="AM83" s="22"/>
      <c r="AN83" s="22"/>
    </row>
    <row r="84" spans="1:40" s="15" customFormat="1" x14ac:dyDescent="0.25">
      <c r="A84" s="22"/>
      <c r="B84" s="22"/>
      <c r="C84" s="22"/>
      <c r="D84" s="22"/>
      <c r="E84" s="22"/>
      <c r="F84" s="22"/>
      <c r="G84" s="22"/>
      <c r="H84" s="22"/>
      <c r="I84" s="22"/>
      <c r="J84" s="22"/>
      <c r="K84" s="22"/>
      <c r="L84" s="22"/>
      <c r="M84" s="22"/>
      <c r="N84" s="21"/>
      <c r="O84" s="23"/>
      <c r="P84" s="23"/>
      <c r="Q84" s="23"/>
      <c r="R84" s="23"/>
      <c r="S84" s="23"/>
      <c r="T84" s="23"/>
      <c r="U84" s="23"/>
      <c r="V84" s="23"/>
      <c r="W84" s="23"/>
      <c r="X84" s="23"/>
      <c r="Y84" s="23"/>
      <c r="Z84" s="23"/>
      <c r="AA84" s="110"/>
      <c r="AB84" s="23"/>
      <c r="AC84" s="23"/>
      <c r="AD84" s="23"/>
      <c r="AE84" s="23"/>
      <c r="AF84" s="23"/>
      <c r="AG84" s="23"/>
      <c r="AH84" s="23"/>
      <c r="AI84" s="22"/>
      <c r="AJ84" s="22"/>
      <c r="AK84" s="22"/>
      <c r="AL84" s="22"/>
      <c r="AM84" s="22"/>
      <c r="AN84" s="22"/>
    </row>
    <row r="85" spans="1:40" s="15" customFormat="1" x14ac:dyDescent="0.25">
      <c r="A85" s="22"/>
      <c r="B85" s="22"/>
      <c r="C85" s="22"/>
      <c r="D85" s="22"/>
      <c r="E85" s="22"/>
      <c r="F85" s="22"/>
      <c r="G85" s="22"/>
      <c r="H85" s="22"/>
      <c r="I85" s="22"/>
      <c r="J85" s="22"/>
      <c r="K85" s="22"/>
      <c r="L85" s="22"/>
      <c r="M85" s="22"/>
      <c r="N85" s="21"/>
      <c r="O85" s="23"/>
      <c r="P85" s="23"/>
      <c r="Q85" s="23"/>
      <c r="R85" s="23"/>
      <c r="S85" s="23"/>
      <c r="T85" s="23"/>
      <c r="U85" s="23"/>
      <c r="V85" s="23"/>
      <c r="W85" s="23"/>
      <c r="X85" s="23"/>
      <c r="Y85" s="23"/>
      <c r="Z85" s="23"/>
      <c r="AA85" s="110"/>
      <c r="AB85" s="23"/>
      <c r="AC85" s="23"/>
      <c r="AD85" s="23"/>
      <c r="AE85" s="23"/>
      <c r="AF85" s="23"/>
      <c r="AG85" s="23"/>
      <c r="AH85" s="23"/>
      <c r="AI85" s="22"/>
      <c r="AJ85" s="22"/>
      <c r="AK85" s="22"/>
      <c r="AL85" s="22"/>
      <c r="AM85" s="22"/>
      <c r="AN85" s="22"/>
    </row>
    <row r="86" spans="1:40" s="15" customFormat="1" x14ac:dyDescent="0.25">
      <c r="A86" s="22"/>
      <c r="B86" s="22"/>
      <c r="C86" s="22"/>
      <c r="D86" s="22"/>
      <c r="E86" s="22"/>
      <c r="F86" s="22"/>
      <c r="G86" s="22"/>
      <c r="H86" s="22"/>
      <c r="I86" s="22"/>
      <c r="J86" s="22"/>
      <c r="K86" s="22"/>
      <c r="L86" s="22"/>
      <c r="M86" s="22"/>
      <c r="N86" s="21"/>
      <c r="O86" s="23"/>
      <c r="P86" s="23"/>
      <c r="Q86" s="23"/>
      <c r="R86" s="23"/>
      <c r="S86" s="23"/>
      <c r="T86" s="23"/>
      <c r="U86" s="23"/>
      <c r="V86" s="23"/>
      <c r="W86" s="23"/>
      <c r="X86" s="23"/>
      <c r="Y86" s="23"/>
      <c r="Z86" s="23"/>
      <c r="AA86" s="110"/>
      <c r="AB86" s="23"/>
      <c r="AC86" s="23"/>
      <c r="AD86" s="23"/>
      <c r="AE86" s="23"/>
      <c r="AF86" s="23"/>
      <c r="AG86" s="23"/>
      <c r="AH86" s="23"/>
      <c r="AI86" s="22"/>
      <c r="AJ86" s="22"/>
      <c r="AK86" s="22"/>
      <c r="AL86" s="22"/>
      <c r="AM86" s="22"/>
      <c r="AN86" s="22"/>
    </row>
    <row r="87" spans="1:40" s="15" customFormat="1" x14ac:dyDescent="0.25">
      <c r="A87" s="22"/>
      <c r="B87" s="22"/>
      <c r="C87" s="22"/>
      <c r="D87" s="22"/>
      <c r="E87" s="22"/>
      <c r="F87" s="22"/>
      <c r="G87" s="22"/>
      <c r="H87" s="22"/>
      <c r="I87" s="22"/>
      <c r="J87" s="22"/>
      <c r="K87" s="22"/>
      <c r="L87" s="22"/>
      <c r="M87" s="22"/>
      <c r="N87" s="21"/>
      <c r="O87" s="23"/>
      <c r="P87" s="23"/>
      <c r="Q87" s="23"/>
      <c r="R87" s="23"/>
      <c r="S87" s="23"/>
      <c r="T87" s="23"/>
      <c r="U87" s="23"/>
      <c r="V87" s="23"/>
      <c r="W87" s="23"/>
      <c r="X87" s="23"/>
      <c r="Y87" s="23"/>
      <c r="Z87" s="23"/>
      <c r="AA87" s="110"/>
      <c r="AB87" s="23"/>
      <c r="AC87" s="23"/>
      <c r="AD87" s="23"/>
      <c r="AE87" s="23"/>
      <c r="AF87" s="23"/>
      <c r="AG87" s="23"/>
      <c r="AH87" s="23"/>
      <c r="AI87" s="22"/>
      <c r="AJ87" s="22"/>
      <c r="AK87" s="22"/>
      <c r="AL87" s="22"/>
      <c r="AM87" s="22"/>
      <c r="AN87" s="22"/>
    </row>
    <row r="88" spans="1:40" s="15" customFormat="1" x14ac:dyDescent="0.25">
      <c r="A88" s="22"/>
      <c r="B88" s="22"/>
      <c r="C88" s="22"/>
      <c r="D88" s="22"/>
      <c r="E88" s="22"/>
      <c r="F88" s="22"/>
      <c r="G88" s="22"/>
      <c r="H88" s="22"/>
      <c r="I88" s="22"/>
      <c r="J88" s="22"/>
      <c r="K88" s="22"/>
      <c r="L88" s="22"/>
      <c r="M88" s="22"/>
      <c r="N88" s="21"/>
      <c r="O88" s="23"/>
      <c r="P88" s="23"/>
      <c r="Q88" s="23"/>
      <c r="R88" s="23"/>
      <c r="S88" s="23"/>
      <c r="T88" s="23"/>
      <c r="U88" s="23"/>
      <c r="V88" s="23"/>
      <c r="W88" s="23"/>
      <c r="X88" s="23"/>
      <c r="Y88" s="23"/>
      <c r="Z88" s="23"/>
      <c r="AA88" s="110"/>
      <c r="AB88" s="23"/>
      <c r="AC88" s="23"/>
      <c r="AD88" s="23"/>
      <c r="AE88" s="23"/>
      <c r="AF88" s="23"/>
      <c r="AG88" s="23"/>
      <c r="AH88" s="23"/>
      <c r="AI88" s="22"/>
      <c r="AJ88" s="22"/>
      <c r="AK88" s="22"/>
      <c r="AL88" s="22"/>
      <c r="AM88" s="22"/>
      <c r="AN88" s="22"/>
    </row>
    <row r="89" spans="1:40" s="15" customFormat="1" x14ac:dyDescent="0.25">
      <c r="A89" s="22"/>
      <c r="B89" s="22"/>
      <c r="C89" s="22"/>
      <c r="D89" s="22"/>
      <c r="E89" s="22"/>
      <c r="F89" s="22"/>
      <c r="G89" s="22"/>
      <c r="H89" s="22"/>
      <c r="I89" s="22"/>
      <c r="J89" s="22"/>
      <c r="K89" s="22"/>
      <c r="L89" s="22"/>
      <c r="M89" s="22"/>
      <c r="N89" s="21"/>
      <c r="O89" s="23"/>
      <c r="P89" s="23"/>
      <c r="Q89" s="23"/>
      <c r="R89" s="23"/>
      <c r="S89" s="23"/>
      <c r="T89" s="23"/>
      <c r="U89" s="23"/>
      <c r="V89" s="23"/>
      <c r="W89" s="23"/>
      <c r="X89" s="23"/>
      <c r="Y89" s="23"/>
      <c r="Z89" s="23"/>
      <c r="AA89" s="110"/>
      <c r="AB89" s="23"/>
      <c r="AC89" s="23"/>
      <c r="AD89" s="23"/>
      <c r="AE89" s="23"/>
      <c r="AF89" s="23"/>
      <c r="AG89" s="23"/>
      <c r="AH89" s="23"/>
      <c r="AI89" s="22"/>
      <c r="AJ89" s="22"/>
      <c r="AK89" s="22"/>
      <c r="AL89" s="22"/>
      <c r="AM89" s="22"/>
      <c r="AN89" s="22"/>
    </row>
    <row r="90" spans="1:40" s="15" customFormat="1" x14ac:dyDescent="0.25">
      <c r="A90" s="22"/>
      <c r="B90" s="22"/>
      <c r="C90" s="22"/>
      <c r="D90" s="22"/>
      <c r="E90" s="22"/>
      <c r="F90" s="22"/>
      <c r="G90" s="22"/>
      <c r="H90" s="22"/>
      <c r="I90" s="22"/>
      <c r="J90" s="22"/>
      <c r="K90" s="22"/>
      <c r="L90" s="22"/>
      <c r="M90" s="22"/>
      <c r="N90" s="21"/>
      <c r="O90" s="23"/>
      <c r="P90" s="23"/>
      <c r="Q90" s="23"/>
      <c r="R90" s="23"/>
      <c r="S90" s="23"/>
      <c r="T90" s="23"/>
      <c r="U90" s="23"/>
      <c r="V90" s="23"/>
      <c r="W90" s="23"/>
      <c r="X90" s="23"/>
      <c r="Y90" s="23"/>
      <c r="Z90" s="23"/>
      <c r="AA90" s="110"/>
      <c r="AB90" s="23"/>
      <c r="AC90" s="23"/>
      <c r="AD90" s="23"/>
      <c r="AE90" s="23"/>
      <c r="AF90" s="23"/>
      <c r="AG90" s="23"/>
      <c r="AH90" s="23"/>
      <c r="AI90" s="22"/>
      <c r="AJ90" s="22"/>
      <c r="AK90" s="22"/>
      <c r="AL90" s="22"/>
      <c r="AM90" s="22"/>
      <c r="AN90" s="22"/>
    </row>
    <row r="91" spans="1:40" s="15" customFormat="1" x14ac:dyDescent="0.25">
      <c r="A91" s="22"/>
      <c r="B91" s="22"/>
      <c r="C91" s="22"/>
      <c r="D91" s="22"/>
      <c r="E91" s="22"/>
      <c r="F91" s="22"/>
      <c r="G91" s="22"/>
      <c r="H91" s="22"/>
      <c r="I91" s="22"/>
      <c r="J91" s="22"/>
      <c r="K91" s="22"/>
      <c r="L91" s="22"/>
      <c r="M91" s="22"/>
      <c r="N91" s="21"/>
      <c r="O91" s="23"/>
      <c r="P91" s="23"/>
      <c r="Q91" s="23"/>
      <c r="R91" s="23"/>
      <c r="S91" s="23"/>
      <c r="T91" s="23"/>
      <c r="U91" s="23"/>
      <c r="V91" s="23"/>
      <c r="W91" s="23"/>
      <c r="X91" s="23"/>
      <c r="Y91" s="23"/>
      <c r="Z91" s="23"/>
      <c r="AA91" s="110"/>
      <c r="AB91" s="23"/>
      <c r="AC91" s="23"/>
      <c r="AD91" s="23"/>
      <c r="AE91" s="23"/>
      <c r="AF91" s="23"/>
      <c r="AG91" s="23"/>
      <c r="AH91" s="23"/>
      <c r="AI91" s="22"/>
      <c r="AJ91" s="22"/>
      <c r="AK91" s="22"/>
      <c r="AL91" s="22"/>
      <c r="AM91" s="22"/>
      <c r="AN91" s="22"/>
    </row>
    <row r="92" spans="1:40" s="15" customFormat="1" x14ac:dyDescent="0.25">
      <c r="A92" s="22"/>
      <c r="B92" s="22"/>
      <c r="C92" s="22"/>
      <c r="D92" s="22"/>
      <c r="E92" s="22"/>
      <c r="F92" s="22"/>
      <c r="G92" s="22"/>
      <c r="H92" s="22"/>
      <c r="I92" s="22"/>
      <c r="J92" s="22"/>
      <c r="K92" s="22"/>
      <c r="L92" s="22"/>
      <c r="M92" s="22"/>
      <c r="N92" s="21"/>
      <c r="O92" s="23"/>
      <c r="P92" s="23"/>
      <c r="Q92" s="23"/>
      <c r="R92" s="23"/>
      <c r="S92" s="23"/>
      <c r="T92" s="23"/>
      <c r="U92" s="23"/>
      <c r="V92" s="23"/>
      <c r="W92" s="23"/>
      <c r="X92" s="23"/>
      <c r="Y92" s="23"/>
      <c r="Z92" s="23"/>
      <c r="AA92" s="110"/>
      <c r="AB92" s="23"/>
      <c r="AC92" s="23"/>
      <c r="AD92" s="23"/>
      <c r="AE92" s="23"/>
      <c r="AF92" s="23"/>
      <c r="AG92" s="23"/>
      <c r="AH92" s="23"/>
      <c r="AI92" s="22"/>
      <c r="AJ92" s="22"/>
      <c r="AK92" s="22"/>
      <c r="AL92" s="22"/>
      <c r="AM92" s="22"/>
      <c r="AN92" s="22"/>
    </row>
    <row r="93" spans="1:40" s="15" customFormat="1" x14ac:dyDescent="0.25">
      <c r="A93" s="22"/>
      <c r="B93" s="22"/>
      <c r="C93" s="22"/>
      <c r="D93" s="22"/>
      <c r="E93" s="22"/>
      <c r="F93" s="22"/>
      <c r="G93" s="22"/>
      <c r="H93" s="22"/>
      <c r="I93" s="22"/>
      <c r="J93" s="22"/>
      <c r="K93" s="22"/>
      <c r="L93" s="22"/>
      <c r="M93" s="22"/>
      <c r="N93" s="21"/>
      <c r="O93" s="23"/>
      <c r="P93" s="23"/>
      <c r="Q93" s="23"/>
      <c r="R93" s="23"/>
      <c r="S93" s="23"/>
      <c r="T93" s="23"/>
      <c r="U93" s="23"/>
      <c r="V93" s="23"/>
      <c r="W93" s="23"/>
      <c r="X93" s="23"/>
      <c r="Y93" s="23"/>
      <c r="Z93" s="23"/>
      <c r="AA93" s="110"/>
      <c r="AB93" s="23"/>
      <c r="AC93" s="23"/>
      <c r="AD93" s="23"/>
      <c r="AE93" s="23"/>
      <c r="AF93" s="23"/>
      <c r="AG93" s="23"/>
      <c r="AH93" s="23"/>
      <c r="AI93" s="22"/>
      <c r="AJ93" s="22"/>
      <c r="AK93" s="22"/>
      <c r="AL93" s="22"/>
      <c r="AM93" s="22"/>
      <c r="AN93" s="22"/>
    </row>
    <row r="94" spans="1:40" s="15" customFormat="1" x14ac:dyDescent="0.25">
      <c r="A94" s="22"/>
      <c r="B94" s="22"/>
      <c r="C94" s="22"/>
      <c r="D94" s="22"/>
      <c r="E94" s="22"/>
      <c r="F94" s="22"/>
      <c r="G94" s="22"/>
      <c r="H94" s="22"/>
      <c r="I94" s="22"/>
      <c r="J94" s="22"/>
      <c r="K94" s="22"/>
      <c r="L94" s="22"/>
      <c r="M94" s="22"/>
      <c r="N94" s="21"/>
      <c r="O94" s="23"/>
      <c r="P94" s="23"/>
      <c r="Q94" s="23"/>
      <c r="R94" s="23"/>
      <c r="S94" s="23"/>
      <c r="T94" s="23"/>
      <c r="U94" s="23"/>
      <c r="V94" s="23"/>
      <c r="W94" s="23"/>
      <c r="X94" s="23"/>
      <c r="Y94" s="23"/>
      <c r="Z94" s="23"/>
      <c r="AA94" s="110"/>
      <c r="AB94" s="23"/>
      <c r="AC94" s="23"/>
      <c r="AD94" s="23"/>
      <c r="AE94" s="23"/>
      <c r="AF94" s="23"/>
      <c r="AG94" s="23"/>
      <c r="AH94" s="23"/>
      <c r="AI94" s="22"/>
      <c r="AJ94" s="22"/>
      <c r="AK94" s="22"/>
      <c r="AL94" s="22"/>
      <c r="AM94" s="22"/>
      <c r="AN94" s="22"/>
    </row>
    <row r="95" spans="1:40" s="15" customFormat="1" x14ac:dyDescent="0.25">
      <c r="A95" s="22"/>
      <c r="B95" s="22"/>
      <c r="C95" s="22"/>
      <c r="D95" s="22"/>
      <c r="E95" s="22"/>
      <c r="F95" s="22"/>
      <c r="G95" s="22"/>
      <c r="H95" s="22"/>
      <c r="I95" s="22"/>
      <c r="J95" s="22"/>
      <c r="K95" s="22"/>
      <c r="L95" s="22"/>
      <c r="M95" s="22"/>
      <c r="N95" s="21"/>
      <c r="O95" s="23"/>
      <c r="P95" s="23"/>
      <c r="Q95" s="23"/>
      <c r="R95" s="23"/>
      <c r="S95" s="23"/>
      <c r="T95" s="23"/>
      <c r="U95" s="23"/>
      <c r="V95" s="23"/>
      <c r="W95" s="23"/>
      <c r="X95" s="23"/>
      <c r="Y95" s="23"/>
      <c r="Z95" s="23"/>
      <c r="AA95" s="110"/>
      <c r="AB95" s="23"/>
      <c r="AC95" s="23"/>
      <c r="AD95" s="23"/>
      <c r="AE95" s="23"/>
      <c r="AF95" s="23"/>
      <c r="AG95" s="23"/>
      <c r="AH95" s="23"/>
      <c r="AI95" s="22"/>
      <c r="AJ95" s="22"/>
      <c r="AK95" s="22"/>
      <c r="AL95" s="22"/>
      <c r="AM95" s="22"/>
      <c r="AN95" s="22"/>
    </row>
    <row r="464" spans="35:35" x14ac:dyDescent="0.25">
      <c r="AI464" s="304"/>
    </row>
  </sheetData>
  <mergeCells count="63">
    <mergeCell ref="AI14:AI15"/>
    <mergeCell ref="AJ14:AJ15"/>
    <mergeCell ref="AL14:AL15"/>
    <mergeCell ref="AM14:AM15"/>
    <mergeCell ref="AH12:AH15"/>
    <mergeCell ref="AI12:AJ13"/>
    <mergeCell ref="AK12:AK15"/>
    <mergeCell ref="AL12:AM13"/>
    <mergeCell ref="AF14:AF15"/>
    <mergeCell ref="X15:Z15"/>
    <mergeCell ref="AA14:AA15"/>
    <mergeCell ref="AG14:AG15"/>
    <mergeCell ref="P12:R12"/>
    <mergeCell ref="S12:S15"/>
    <mergeCell ref="T12:T15"/>
    <mergeCell ref="R14:R15"/>
    <mergeCell ref="AB14:AB15"/>
    <mergeCell ref="AC14:AC15"/>
    <mergeCell ref="AD14:AD15"/>
    <mergeCell ref="AE14:AE15"/>
    <mergeCell ref="L10:AN11"/>
    <mergeCell ref="A12:A15"/>
    <mergeCell ref="B12:B15"/>
    <mergeCell ref="C12:C15"/>
    <mergeCell ref="D12:D15"/>
    <mergeCell ref="E12:E15"/>
    <mergeCell ref="F12:F15"/>
    <mergeCell ref="G12:G15"/>
    <mergeCell ref="H12:H15"/>
    <mergeCell ref="I12:I15"/>
    <mergeCell ref="K12:K15"/>
    <mergeCell ref="L12:L15"/>
    <mergeCell ref="AF12:AG13"/>
    <mergeCell ref="P13:P15"/>
    <mergeCell ref="Q13:R13"/>
    <mergeCell ref="Q14:Q15"/>
    <mergeCell ref="M12:M15"/>
    <mergeCell ref="AN12:AN15"/>
    <mergeCell ref="A6:AN6"/>
    <mergeCell ref="A1:Z1"/>
    <mergeCell ref="A2:Y2"/>
    <mergeCell ref="A3:AN3"/>
    <mergeCell ref="A4:AN4"/>
    <mergeCell ref="A5:AN5"/>
    <mergeCell ref="J12:J16"/>
    <mergeCell ref="N12:O12"/>
    <mergeCell ref="N13:N15"/>
    <mergeCell ref="O13:O15"/>
    <mergeCell ref="U12:Z14"/>
    <mergeCell ref="AA12:AE13"/>
    <mergeCell ref="A7:Y7"/>
    <mergeCell ref="A10:K11"/>
    <mergeCell ref="A17:AH17"/>
    <mergeCell ref="AI17:AN17"/>
    <mergeCell ref="U50:W50"/>
    <mergeCell ref="A31:W31"/>
    <mergeCell ref="A36:W36"/>
    <mergeCell ref="A39:W39"/>
    <mergeCell ref="A18:W18"/>
    <mergeCell ref="A20:W20"/>
    <mergeCell ref="A22:W22"/>
    <mergeCell ref="A24:W24"/>
    <mergeCell ref="A28:W28"/>
  </mergeCells>
  <dataValidations disablePrompts="1" count="7">
    <dataValidation type="list" showInputMessage="1" showErrorMessage="1" sqref="N68:N95" xr:uid="{A29ECF10-59DE-4625-B754-52D59CCF9C1B}">
      <formula1>$B$54:$B$70</formula1>
    </dataValidation>
    <dataValidation type="list" allowBlank="1" showInputMessage="1" showErrorMessage="1" sqref="K23 K37:K38 K21 K40:K45" xr:uid="{A1FC886C-EB60-4ADA-949B-031EF202F3FB}">
      <formula1>$N$68:$N$95</formula1>
    </dataValidation>
    <dataValidation type="list" showInputMessage="1" showErrorMessage="1" sqref="M29" xr:uid="{E57AD475-681D-4883-B35D-18466E096B81}">
      <formula1>#REF!</formula1>
    </dataValidation>
    <dataValidation type="list" allowBlank="1" showInputMessage="1" showErrorMessage="1" sqref="L26" xr:uid="{20244BE4-E852-4D93-9908-DEC0057171E3}">
      <formula1>#REF!</formula1>
    </dataValidation>
    <dataValidation type="list" allowBlank="1" showInputMessage="1" showErrorMessage="1" sqref="K19" xr:uid="{469722E5-68E9-4A70-AC58-4854601C3D9C}">
      <formula1>$O$51:$O$67</formula1>
    </dataValidation>
    <dataValidation type="list" allowBlank="1" showInputMessage="1" showErrorMessage="1" sqref="K25 K27" xr:uid="{C4A57D62-A26B-406C-8679-80D455E8F597}">
      <formula1>$O$50:$O$66</formula1>
    </dataValidation>
    <dataValidation type="list" allowBlank="1" showInputMessage="1" showErrorMessage="1" sqref="K29:K30" xr:uid="{6F9561ED-FE96-4B5A-8DEA-BDE92F6B9C24}">
      <formula1>$O$54:$O$71</formula1>
    </dataValidation>
  </dataValidations>
  <pageMargins left="0.51181102362204722" right="0.31496062992125984" top="0.74803149606299213" bottom="0.74803149606299213" header="0.31496062992125984" footer="0.31496062992125984"/>
  <pageSetup paperSize="5" scale="34" fitToHeight="0" orientation="landscape" r:id="rId1"/>
  <rowBreaks count="3" manualBreakCount="3">
    <brk id="27" max="16383" man="1"/>
    <brk id="37" max="16383" man="1"/>
    <brk id="44" max="16383" man="1"/>
  </row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85DBD09-0A02-4E84-B5BE-E59D17E26802}">
          <x14:formula1>
            <xm:f>'C:\Users\rrodriguez\AppData\Local\Microsoft\Windows\INetCache\Content.Outlook\PODJYROB\[PROGRAMA I POI MAPP 2020.xlsx]codigos pres'!#REF!</xm:f>
          </x14:formula1>
          <xm:sqref>L19 L29:L30 L32 L34:L35 L21</xm:sqref>
        </x14:dataValidation>
        <x14:dataValidation type="list" allowBlank="1" showInputMessage="1" showErrorMessage="1" xr:uid="{4666BCCB-6B2D-4777-A174-9E368EB1F6D2}">
          <x14:formula1>
            <xm:f>'C:\Users\jchaves\AppData\Local\Microsoft\Windows\INetCache\Content.Outlook\YT5API45\[PROGRAMA I POI MAPP 2020 - 2-08-2019.xlsx]codigos pres'!#REF!</xm:f>
          </x14:formula1>
          <xm:sqref>L25 L27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4"/>
  <sheetViews>
    <sheetView showGridLines="0" view="pageBreakPreview" topLeftCell="AB9" zoomScale="75" zoomScaleNormal="50" zoomScaleSheetLayoutView="75" workbookViewId="0">
      <pane ySplit="5" topLeftCell="A39" activePane="bottomLeft" state="frozen"/>
      <selection activeCell="N9" sqref="N9"/>
      <selection pane="bottomLeft" activeCell="AB41" sqref="AB41"/>
    </sheetView>
  </sheetViews>
  <sheetFormatPr baseColWidth="10" defaultColWidth="11.42578125" defaultRowHeight="15" x14ac:dyDescent="0.25"/>
  <cols>
    <col min="1" max="1" width="22.28515625" style="1" hidden="1" customWidth="1"/>
    <col min="2" max="2" width="20.42578125" style="1" hidden="1" customWidth="1"/>
    <col min="3" max="3" width="19.85546875" style="1" hidden="1" customWidth="1"/>
    <col min="4" max="4" width="19.140625" style="1" hidden="1" customWidth="1"/>
    <col min="5" max="5" width="18.7109375" hidden="1" customWidth="1"/>
    <col min="6" max="6" width="16.7109375" style="1" hidden="1" customWidth="1"/>
    <col min="7" max="7" width="18.7109375" hidden="1" customWidth="1"/>
    <col min="8" max="8" width="14.7109375" hidden="1" customWidth="1"/>
    <col min="9" max="9" width="15" style="1" hidden="1" customWidth="1"/>
    <col min="10" max="10" width="17.7109375" style="22" hidden="1" customWidth="1"/>
    <col min="11" max="11" width="25.42578125" style="1" hidden="1" customWidth="1"/>
    <col min="12" max="12" width="17.7109375" style="1" hidden="1" customWidth="1"/>
    <col min="13" max="13" width="23.85546875" customWidth="1"/>
    <col min="14" max="14" width="45.140625" style="1" customWidth="1"/>
    <col min="15" max="15" width="10.85546875" style="23" customWidth="1"/>
    <col min="16" max="16" width="13.5703125" style="1" hidden="1" customWidth="1"/>
    <col min="17" max="17" width="10.5703125" style="1" hidden="1" customWidth="1"/>
    <col min="18" max="18" width="10.42578125" style="1" hidden="1" customWidth="1"/>
    <col min="19" max="19" width="21" style="1" customWidth="1"/>
    <col min="20" max="20" width="7.7109375" style="1" customWidth="1"/>
    <col min="21" max="23" width="11.42578125" style="1" customWidth="1"/>
    <col min="24" max="24" width="12.5703125" style="22" hidden="1" customWidth="1"/>
    <col min="25" max="25" width="11.85546875" style="1" hidden="1" customWidth="1"/>
    <col min="26" max="26" width="31.28515625" style="1" customWidth="1"/>
    <col min="27" max="27" width="24.28515625" style="22" customWidth="1"/>
    <col min="28" max="28" width="29.7109375" style="22" customWidth="1"/>
    <col min="29" max="29" width="24.28515625" style="22" customWidth="1"/>
    <col min="30" max="30" width="25.140625" style="22" customWidth="1"/>
    <col min="31" max="31" width="24.28515625" style="22" customWidth="1"/>
    <col min="32" max="32" width="27.85546875" style="22" customWidth="1"/>
    <col min="33" max="33" width="22.5703125" style="1" customWidth="1"/>
    <col min="34" max="34" width="78" customWidth="1"/>
    <col min="35" max="35" width="11.42578125" style="31" customWidth="1"/>
    <col min="36" max="36" width="26.28515625" style="31" customWidth="1"/>
    <col min="37" max="37" width="29.140625" customWidth="1"/>
    <col min="38" max="59" width="11.42578125" customWidth="1"/>
    <col min="60" max="60" width="3.28515625" customWidth="1"/>
    <col min="61" max="61" width="4.28515625" customWidth="1"/>
  </cols>
  <sheetData>
    <row r="1" spans="1:36" s="7" customFormat="1" ht="21.6" customHeight="1" x14ac:dyDescent="0.35">
      <c r="A1" s="376"/>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26"/>
      <c r="AJ1" s="26"/>
    </row>
    <row r="2" spans="1:36" s="2" customFormat="1" ht="48" customHeight="1" thickBot="1" x14ac:dyDescent="0.4">
      <c r="A2" s="449" t="s">
        <v>115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27"/>
      <c r="AJ2" s="27"/>
    </row>
    <row r="3" spans="1:36" s="3" customFormat="1" ht="24.95" customHeight="1" thickBot="1" x14ac:dyDescent="0.25">
      <c r="A3" s="437" t="s">
        <v>330</v>
      </c>
      <c r="B3" s="438"/>
      <c r="C3" s="438"/>
      <c r="D3" s="438"/>
      <c r="E3" s="438"/>
      <c r="F3" s="439"/>
      <c r="G3" s="10"/>
      <c r="H3" s="450"/>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28"/>
      <c r="AJ3" s="28"/>
    </row>
    <row r="4" spans="1:36" s="4" customFormat="1" ht="24.95" customHeight="1" thickBot="1" x14ac:dyDescent="0.3">
      <c r="A4" s="437" t="s">
        <v>331</v>
      </c>
      <c r="B4" s="438"/>
      <c r="C4" s="438"/>
      <c r="D4" s="438"/>
      <c r="E4" s="438"/>
      <c r="F4" s="439"/>
      <c r="G4" s="10"/>
      <c r="H4" s="450"/>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29"/>
      <c r="AJ4" s="29"/>
    </row>
    <row r="5" spans="1:36" s="8" customFormat="1" ht="24.95" customHeight="1" thickBot="1" x14ac:dyDescent="0.25">
      <c r="A5" s="440" t="s">
        <v>332</v>
      </c>
      <c r="B5" s="441"/>
      <c r="C5" s="441"/>
      <c r="D5" s="441"/>
      <c r="E5" s="441"/>
      <c r="F5" s="442"/>
      <c r="G5" s="11"/>
      <c r="H5" s="452"/>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28"/>
      <c r="AJ5" s="28"/>
    </row>
    <row r="6" spans="1:36" s="9" customFormat="1" ht="24.95" customHeight="1" thickBot="1" x14ac:dyDescent="0.25">
      <c r="A6" s="440" t="s">
        <v>333</v>
      </c>
      <c r="B6" s="441"/>
      <c r="C6" s="441"/>
      <c r="D6" s="441"/>
      <c r="E6" s="441"/>
      <c r="F6" s="442"/>
      <c r="G6" s="11"/>
      <c r="H6" s="454"/>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30"/>
      <c r="AJ6" s="30"/>
    </row>
    <row r="7" spans="1:36" s="5" customFormat="1" ht="24.95" customHeight="1" thickBot="1" x14ac:dyDescent="0.25">
      <c r="A7" s="160" t="s">
        <v>120</v>
      </c>
      <c r="B7" s="161"/>
      <c r="C7" s="161"/>
      <c r="D7" s="161"/>
      <c r="E7" s="161"/>
      <c r="F7" s="161"/>
      <c r="G7" s="12"/>
      <c r="H7" s="12"/>
      <c r="I7" s="12"/>
      <c r="J7" s="12"/>
      <c r="K7" s="12"/>
      <c r="L7" s="12"/>
      <c r="M7" s="12"/>
      <c r="N7" s="12"/>
      <c r="O7" s="54"/>
      <c r="P7" s="12"/>
      <c r="Q7" s="12"/>
      <c r="R7" s="12"/>
      <c r="S7" s="12"/>
      <c r="T7" s="12"/>
      <c r="U7" s="12"/>
      <c r="V7" s="12"/>
      <c r="W7" s="12"/>
      <c r="X7" s="12"/>
      <c r="Y7" s="12"/>
      <c r="Z7" s="12"/>
      <c r="AA7" s="12"/>
      <c r="AB7" s="12"/>
      <c r="AC7" s="12"/>
      <c r="AD7" s="12"/>
      <c r="AE7" s="12"/>
      <c r="AF7" s="12"/>
      <c r="AG7" s="12"/>
      <c r="AH7" s="12"/>
      <c r="AI7" s="30"/>
      <c r="AJ7" s="30"/>
    </row>
    <row r="8" spans="1:36" ht="40.15" customHeight="1" thickTop="1" thickBot="1" x14ac:dyDescent="0.3">
      <c r="A8" s="457" t="s">
        <v>334</v>
      </c>
      <c r="B8" s="457"/>
      <c r="C8" s="457"/>
      <c r="D8" s="457"/>
      <c r="E8" s="457"/>
      <c r="F8" s="457"/>
      <c r="G8" s="457"/>
      <c r="H8" s="457"/>
      <c r="I8" s="457"/>
      <c r="J8" s="457"/>
      <c r="K8" s="457"/>
      <c r="L8" s="456" t="s">
        <v>122</v>
      </c>
      <c r="M8" s="456"/>
      <c r="N8" s="456"/>
      <c r="O8" s="456"/>
      <c r="P8" s="456"/>
      <c r="Q8" s="456"/>
      <c r="R8" s="456"/>
      <c r="S8" s="456"/>
      <c r="T8" s="456"/>
      <c r="U8" s="456"/>
      <c r="V8" s="456"/>
      <c r="W8" s="456"/>
      <c r="X8" s="456"/>
      <c r="Y8" s="456"/>
      <c r="Z8" s="456"/>
      <c r="AA8" s="456"/>
      <c r="AB8" s="456"/>
      <c r="AC8" s="456"/>
      <c r="AD8" s="456"/>
      <c r="AE8" s="456"/>
      <c r="AF8" s="456"/>
      <c r="AG8" s="456"/>
      <c r="AH8" s="456"/>
    </row>
    <row r="9" spans="1:36" ht="41.45" customHeight="1" x14ac:dyDescent="0.25">
      <c r="A9" s="443" t="s">
        <v>123</v>
      </c>
      <c r="B9" s="446" t="s">
        <v>124</v>
      </c>
      <c r="C9" s="443" t="s">
        <v>125</v>
      </c>
      <c r="D9" s="443" t="s">
        <v>126</v>
      </c>
      <c r="E9" s="372" t="s">
        <v>127</v>
      </c>
      <c r="F9" s="372" t="s">
        <v>128</v>
      </c>
      <c r="G9" s="372" t="s">
        <v>129</v>
      </c>
      <c r="H9" s="372" t="s">
        <v>130</v>
      </c>
      <c r="I9" s="384" t="s">
        <v>131</v>
      </c>
      <c r="J9" s="384" t="s">
        <v>132</v>
      </c>
      <c r="K9" s="372" t="s">
        <v>133</v>
      </c>
      <c r="L9" s="372" t="s">
        <v>134</v>
      </c>
      <c r="M9" s="372" t="s">
        <v>135</v>
      </c>
      <c r="N9" s="387" t="s">
        <v>136</v>
      </c>
      <c r="O9" s="436"/>
      <c r="P9" s="387" t="s">
        <v>137</v>
      </c>
      <c r="Q9" s="388"/>
      <c r="R9" s="388"/>
      <c r="S9" s="372" t="s">
        <v>335</v>
      </c>
      <c r="T9" s="372" t="s">
        <v>336</v>
      </c>
      <c r="U9" s="390" t="s">
        <v>140</v>
      </c>
      <c r="V9" s="391"/>
      <c r="W9" s="391"/>
      <c r="X9" s="391"/>
      <c r="Y9" s="392"/>
      <c r="Z9" s="430" t="s">
        <v>337</v>
      </c>
      <c r="AA9" s="431"/>
      <c r="AB9" s="431"/>
      <c r="AC9" s="432"/>
      <c r="AD9" s="390" t="s">
        <v>144</v>
      </c>
      <c r="AE9" s="392"/>
      <c r="AF9" s="427" t="s">
        <v>145</v>
      </c>
      <c r="AG9" s="236"/>
      <c r="AH9" s="372" t="s">
        <v>146</v>
      </c>
    </row>
    <row r="10" spans="1:36" ht="15" customHeight="1" thickTop="1" thickBot="1" x14ac:dyDescent="0.3">
      <c r="A10" s="444"/>
      <c r="B10" s="447"/>
      <c r="C10" s="444"/>
      <c r="D10" s="444"/>
      <c r="E10" s="373"/>
      <c r="F10" s="373"/>
      <c r="G10" s="373"/>
      <c r="H10" s="373"/>
      <c r="I10" s="385"/>
      <c r="J10" s="385"/>
      <c r="K10" s="373"/>
      <c r="L10" s="373"/>
      <c r="M10" s="373"/>
      <c r="N10" s="275" t="s">
        <v>147</v>
      </c>
      <c r="O10" s="278" t="s">
        <v>148</v>
      </c>
      <c r="P10" s="372" t="s">
        <v>149</v>
      </c>
      <c r="Q10" s="406" t="s">
        <v>148</v>
      </c>
      <c r="R10" s="407"/>
      <c r="S10" s="373"/>
      <c r="T10" s="373"/>
      <c r="U10" s="393"/>
      <c r="V10" s="417"/>
      <c r="W10" s="417"/>
      <c r="X10" s="417"/>
      <c r="Y10" s="395"/>
      <c r="Z10" s="433"/>
      <c r="AA10" s="434"/>
      <c r="AB10" s="434"/>
      <c r="AC10" s="435"/>
      <c r="AD10" s="393"/>
      <c r="AE10" s="395"/>
      <c r="AF10" s="414"/>
      <c r="AG10" s="237"/>
      <c r="AH10" s="373"/>
    </row>
    <row r="11" spans="1:36" s="253" customFormat="1" ht="77.25" customHeight="1" thickTop="1" thickBot="1" x14ac:dyDescent="0.3">
      <c r="A11" s="444"/>
      <c r="B11" s="447"/>
      <c r="C11" s="444"/>
      <c r="D11" s="444"/>
      <c r="E11" s="373"/>
      <c r="F11" s="373"/>
      <c r="G11" s="373"/>
      <c r="H11" s="373"/>
      <c r="I11" s="385"/>
      <c r="J11" s="385"/>
      <c r="K11" s="373"/>
      <c r="L11" s="373"/>
      <c r="M11" s="373"/>
      <c r="N11" s="251"/>
      <c r="O11" s="251"/>
      <c r="P11" s="373"/>
      <c r="Q11" s="373" t="s">
        <v>150</v>
      </c>
      <c r="R11" s="393" t="s">
        <v>151</v>
      </c>
      <c r="S11" s="373"/>
      <c r="T11" s="373"/>
      <c r="U11" s="396"/>
      <c r="V11" s="397"/>
      <c r="W11" s="397"/>
      <c r="X11" s="397"/>
      <c r="Y11" s="398"/>
      <c r="Z11" s="427" t="s">
        <v>152</v>
      </c>
      <c r="AA11" s="427" t="s">
        <v>153</v>
      </c>
      <c r="AB11" s="427" t="s">
        <v>154</v>
      </c>
      <c r="AC11" s="427" t="s">
        <v>155</v>
      </c>
      <c r="AD11" s="427" t="s">
        <v>159</v>
      </c>
      <c r="AE11" s="427" t="s">
        <v>160</v>
      </c>
      <c r="AF11" s="414"/>
      <c r="AG11" s="414" t="s">
        <v>156</v>
      </c>
      <c r="AH11" s="373"/>
      <c r="AI11" s="252"/>
      <c r="AJ11" s="252"/>
    </row>
    <row r="12" spans="1:36" ht="0.6" customHeight="1" thickTop="1" thickBot="1" x14ac:dyDescent="0.3">
      <c r="A12" s="444"/>
      <c r="B12" s="447"/>
      <c r="C12" s="444"/>
      <c r="D12" s="444"/>
      <c r="E12" s="373"/>
      <c r="F12" s="373"/>
      <c r="G12" s="373"/>
      <c r="H12" s="373"/>
      <c r="I12" s="385"/>
      <c r="J12" s="385"/>
      <c r="K12" s="373"/>
      <c r="L12" s="373"/>
      <c r="M12" s="373"/>
      <c r="N12" s="275"/>
      <c r="O12" s="275"/>
      <c r="P12" s="373"/>
      <c r="Q12" s="373"/>
      <c r="R12" s="393"/>
      <c r="S12" s="373"/>
      <c r="T12" s="373"/>
      <c r="U12" s="391" t="s">
        <v>338</v>
      </c>
      <c r="V12" s="391" t="s">
        <v>162</v>
      </c>
      <c r="W12" s="391" t="s">
        <v>163</v>
      </c>
      <c r="X12" s="428" t="s">
        <v>164</v>
      </c>
      <c r="Y12" s="429"/>
      <c r="Z12" s="414"/>
      <c r="AA12" s="414"/>
      <c r="AB12" s="414"/>
      <c r="AC12" s="414"/>
      <c r="AD12" s="414"/>
      <c r="AE12" s="414"/>
      <c r="AF12" s="414"/>
      <c r="AG12" s="415" t="s">
        <v>165</v>
      </c>
      <c r="AH12" s="373"/>
    </row>
    <row r="13" spans="1:36" s="22" customFormat="1" ht="0.6" customHeight="1" thickTop="1" thickBot="1" x14ac:dyDescent="0.3">
      <c r="A13" s="444"/>
      <c r="B13" s="447"/>
      <c r="C13" s="444"/>
      <c r="D13" s="444"/>
      <c r="E13" s="373"/>
      <c r="F13" s="373"/>
      <c r="G13" s="373"/>
      <c r="H13" s="373"/>
      <c r="I13" s="385"/>
      <c r="J13" s="385"/>
      <c r="K13" s="373"/>
      <c r="L13" s="373"/>
      <c r="M13" s="373"/>
      <c r="N13" s="275"/>
      <c r="O13" s="275"/>
      <c r="P13" s="373"/>
      <c r="Q13" s="373"/>
      <c r="R13" s="393"/>
      <c r="S13" s="373"/>
      <c r="T13" s="373"/>
      <c r="U13" s="417"/>
      <c r="V13" s="417"/>
      <c r="W13" s="417"/>
      <c r="X13" s="235"/>
      <c r="Y13" s="235"/>
      <c r="Z13" s="414"/>
      <c r="AA13" s="414"/>
      <c r="AB13" s="414"/>
      <c r="AC13" s="414"/>
      <c r="AD13" s="414"/>
      <c r="AE13" s="414"/>
      <c r="AF13" s="414"/>
      <c r="AG13" s="415"/>
      <c r="AH13" s="373"/>
      <c r="AI13" s="31"/>
      <c r="AJ13" s="31"/>
    </row>
    <row r="14" spans="1:36" ht="37.9" customHeight="1" thickTop="1" thickBot="1" x14ac:dyDescent="0.3">
      <c r="A14" s="445"/>
      <c r="B14" s="448"/>
      <c r="C14" s="445"/>
      <c r="D14" s="445"/>
      <c r="E14" s="413"/>
      <c r="F14" s="413"/>
      <c r="G14" s="413"/>
      <c r="H14" s="413"/>
      <c r="I14" s="386"/>
      <c r="J14" s="386"/>
      <c r="K14" s="413"/>
      <c r="L14" s="413"/>
      <c r="M14" s="413"/>
      <c r="N14" s="280"/>
      <c r="O14" s="280"/>
      <c r="P14" s="413"/>
      <c r="Q14" s="413"/>
      <c r="R14" s="396"/>
      <c r="S14" s="413">
        <v>2017</v>
      </c>
      <c r="T14" s="413">
        <v>2019</v>
      </c>
      <c r="U14" s="418"/>
      <c r="V14" s="418"/>
      <c r="W14" s="418"/>
      <c r="X14" s="13" t="s">
        <v>339</v>
      </c>
      <c r="Y14" s="13" t="s">
        <v>340</v>
      </c>
      <c r="Z14" s="414"/>
      <c r="AA14" s="414"/>
      <c r="AB14" s="414"/>
      <c r="AC14" s="414"/>
      <c r="AD14" s="414"/>
      <c r="AE14" s="414"/>
      <c r="AF14" s="414"/>
      <c r="AG14" s="416" t="s">
        <v>165</v>
      </c>
      <c r="AH14" s="413"/>
    </row>
    <row r="15" spans="1:36" s="1" customFormat="1" ht="24" customHeight="1" thickTop="1" thickBot="1" x14ac:dyDescent="0.3">
      <c r="A15" s="419" t="s">
        <v>341</v>
      </c>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239">
        <f>SUM(Z16)</f>
        <v>152736625.63999999</v>
      </c>
      <c r="AA15" s="239">
        <f t="shared" ref="AA15:AB15" si="0">SUM(AA16)</f>
        <v>0.01</v>
      </c>
      <c r="AB15" s="239">
        <f t="shared" si="0"/>
        <v>152736625.64999998</v>
      </c>
      <c r="AC15" s="239"/>
      <c r="AD15" s="250">
        <f t="shared" ref="AD15:AE15" si="1">SUM(AD16)</f>
        <v>19742607.77</v>
      </c>
      <c r="AE15" s="250">
        <f t="shared" si="1"/>
        <v>0</v>
      </c>
      <c r="AF15" s="250">
        <f>SUM(AF16)</f>
        <v>19742607.77</v>
      </c>
      <c r="AG15" s="238"/>
      <c r="AH15" s="155"/>
      <c r="AI15" s="31"/>
      <c r="AJ15" s="31"/>
    </row>
    <row r="16" spans="1:36" s="41" customFormat="1" ht="162.6" customHeight="1" thickTop="1" thickBot="1" x14ac:dyDescent="0.3">
      <c r="A16" s="157" t="s">
        <v>167</v>
      </c>
      <c r="B16" s="174" t="s">
        <v>168</v>
      </c>
      <c r="C16" s="175" t="s">
        <v>169</v>
      </c>
      <c r="D16" s="175" t="s">
        <v>170</v>
      </c>
      <c r="E16" s="175" t="s">
        <v>171</v>
      </c>
      <c r="F16" s="176" t="s">
        <v>172</v>
      </c>
      <c r="G16" s="177" t="s">
        <v>173</v>
      </c>
      <c r="H16" s="178" t="s">
        <v>174</v>
      </c>
      <c r="I16" s="178" t="s">
        <v>175</v>
      </c>
      <c r="J16" s="178" t="s">
        <v>342</v>
      </c>
      <c r="K16" s="175" t="s">
        <v>343</v>
      </c>
      <c r="L16" s="157" t="s">
        <v>323</v>
      </c>
      <c r="M16" s="157" t="s">
        <v>344</v>
      </c>
      <c r="N16" s="157" t="s">
        <v>345</v>
      </c>
      <c r="O16" s="179">
        <v>1</v>
      </c>
      <c r="P16" s="180" t="s">
        <v>346</v>
      </c>
      <c r="Q16" s="180" t="s">
        <v>258</v>
      </c>
      <c r="R16" s="180" t="s">
        <v>258</v>
      </c>
      <c r="S16" s="180" t="s">
        <v>347</v>
      </c>
      <c r="T16" s="180" t="s">
        <v>258</v>
      </c>
      <c r="U16" s="179">
        <v>1</v>
      </c>
      <c r="V16" s="179">
        <v>0.5</v>
      </c>
      <c r="W16" s="179">
        <v>0.5</v>
      </c>
      <c r="X16" s="179"/>
      <c r="Y16" s="180"/>
      <c r="Z16" s="261">
        <v>152736625.63999999</v>
      </c>
      <c r="AA16" s="181">
        <v>0.01</v>
      </c>
      <c r="AB16" s="181">
        <f>+Z16+AA16</f>
        <v>152736625.64999998</v>
      </c>
      <c r="AC16" s="181"/>
      <c r="AD16" s="261">
        <f>15204331.91+4538275.86</f>
        <v>19742607.77</v>
      </c>
      <c r="AE16" s="181"/>
      <c r="AF16" s="181">
        <f>+AD16+AE16</f>
        <v>19742607.77</v>
      </c>
      <c r="AG16" s="157" t="s">
        <v>348</v>
      </c>
      <c r="AH16" s="157" t="s">
        <v>349</v>
      </c>
      <c r="AI16" s="40"/>
      <c r="AJ16" s="40"/>
    </row>
    <row r="17" spans="1:46" s="244" customFormat="1" ht="20.45" customHeight="1" thickTop="1" thickBot="1" x14ac:dyDescent="0.3">
      <c r="A17" s="421" t="s">
        <v>350</v>
      </c>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240">
        <f>SUM(Z18:Z21)</f>
        <v>170581897.40600002</v>
      </c>
      <c r="AA17" s="240">
        <f>SUM(AA18:AA21)</f>
        <v>0</v>
      </c>
      <c r="AB17" s="240">
        <f>SUM(AB18:AB21)</f>
        <v>170581897.40600002</v>
      </c>
      <c r="AC17" s="240"/>
      <c r="AD17" s="240">
        <f>SUM(AD18:AD21)</f>
        <v>17881724.18</v>
      </c>
      <c r="AE17" s="240">
        <f>SUM(AE18:AE21)</f>
        <v>0</v>
      </c>
      <c r="AF17" s="240">
        <f>SUM(AF18:AF21)</f>
        <v>17881724.18</v>
      </c>
      <c r="AG17" s="241"/>
      <c r="AH17" s="242"/>
      <c r="AI17" s="243"/>
      <c r="AJ17" s="243"/>
    </row>
    <row r="18" spans="1:46" s="41" customFormat="1" ht="409.6" customHeight="1" thickTop="1" thickBot="1" x14ac:dyDescent="0.3">
      <c r="A18" s="157" t="s">
        <v>167</v>
      </c>
      <c r="B18" s="174" t="s">
        <v>168</v>
      </c>
      <c r="C18" s="175" t="s">
        <v>169</v>
      </c>
      <c r="D18" s="175" t="s">
        <v>170</v>
      </c>
      <c r="E18" s="175" t="s">
        <v>171</v>
      </c>
      <c r="F18" s="176" t="s">
        <v>172</v>
      </c>
      <c r="G18" s="177" t="s">
        <v>173</v>
      </c>
      <c r="H18" s="178" t="s">
        <v>174</v>
      </c>
      <c r="I18" s="178" t="s">
        <v>175</v>
      </c>
      <c r="J18" s="178" t="s">
        <v>342</v>
      </c>
      <c r="K18" s="175" t="s">
        <v>171</v>
      </c>
      <c r="L18" s="157" t="s">
        <v>324</v>
      </c>
      <c r="M18" s="157" t="s">
        <v>351</v>
      </c>
      <c r="N18" s="157" t="s">
        <v>352</v>
      </c>
      <c r="O18" s="180">
        <v>4</v>
      </c>
      <c r="P18" s="180" t="s">
        <v>346</v>
      </c>
      <c r="Q18" s="180"/>
      <c r="R18" s="180"/>
      <c r="S18" s="180" t="s">
        <v>353</v>
      </c>
      <c r="T18" s="180">
        <v>0</v>
      </c>
      <c r="U18" s="180">
        <f>+V18+W18</f>
        <v>4</v>
      </c>
      <c r="V18" s="180">
        <v>1</v>
      </c>
      <c r="W18" s="180">
        <v>3</v>
      </c>
      <c r="X18" s="180"/>
      <c r="Y18" s="180">
        <v>0</v>
      </c>
      <c r="Z18" s="181">
        <f>60443253.8565+19366379.48</f>
        <v>79809633.336500004</v>
      </c>
      <c r="AA18" s="181"/>
      <c r="AB18" s="181">
        <f>+Z18+AA18</f>
        <v>79809633.336500004</v>
      </c>
      <c r="AC18" s="181"/>
      <c r="AD18" s="181"/>
      <c r="AE18" s="181"/>
      <c r="AF18" s="181">
        <f t="shared" ref="AF18:AF20" si="2">+AD18+AE18</f>
        <v>0</v>
      </c>
      <c r="AG18" s="157" t="s">
        <v>354</v>
      </c>
      <c r="AH18" s="157" t="s">
        <v>355</v>
      </c>
      <c r="AI18" s="40"/>
      <c r="AJ18" s="40"/>
    </row>
    <row r="19" spans="1:46" s="41" customFormat="1" ht="98.25" customHeight="1" thickTop="1" thickBot="1" x14ac:dyDescent="0.3">
      <c r="A19" s="157" t="s">
        <v>167</v>
      </c>
      <c r="B19" s="174" t="s">
        <v>168</v>
      </c>
      <c r="C19" s="175" t="s">
        <v>169</v>
      </c>
      <c r="D19" s="175" t="s">
        <v>170</v>
      </c>
      <c r="E19" s="175" t="s">
        <v>171</v>
      </c>
      <c r="F19" s="176" t="s">
        <v>172</v>
      </c>
      <c r="G19" s="177" t="s">
        <v>173</v>
      </c>
      <c r="H19" s="178" t="s">
        <v>174</v>
      </c>
      <c r="I19" s="178" t="s">
        <v>175</v>
      </c>
      <c r="J19" s="178" t="s">
        <v>342</v>
      </c>
      <c r="K19" s="175" t="s">
        <v>171</v>
      </c>
      <c r="L19" s="157" t="s">
        <v>324</v>
      </c>
      <c r="M19" s="157" t="s">
        <v>356</v>
      </c>
      <c r="N19" s="157" t="s">
        <v>357</v>
      </c>
      <c r="O19" s="180">
        <v>4</v>
      </c>
      <c r="P19" s="180" t="s">
        <v>218</v>
      </c>
      <c r="Q19" s="180" t="s">
        <v>258</v>
      </c>
      <c r="R19" s="180" t="s">
        <v>258</v>
      </c>
      <c r="S19" s="180" t="s">
        <v>358</v>
      </c>
      <c r="T19" s="180">
        <v>0</v>
      </c>
      <c r="U19" s="180">
        <f t="shared" ref="U19:U21" si="3">+V19+W19</f>
        <v>4</v>
      </c>
      <c r="V19" s="180">
        <v>2</v>
      </c>
      <c r="W19" s="180">
        <v>2</v>
      </c>
      <c r="X19" s="180"/>
      <c r="Y19" s="180">
        <v>0</v>
      </c>
      <c r="Z19" s="181">
        <f>3265952.3139+19366379.48</f>
        <v>22632331.793900002</v>
      </c>
      <c r="AA19" s="181"/>
      <c r="AB19" s="181">
        <f>+Z19+AA19</f>
        <v>22632331.793900002</v>
      </c>
      <c r="AC19" s="181"/>
      <c r="AD19" s="181"/>
      <c r="AE19" s="181"/>
      <c r="AF19" s="181">
        <f t="shared" si="2"/>
        <v>0</v>
      </c>
      <c r="AG19" s="157" t="s">
        <v>354</v>
      </c>
      <c r="AH19" s="157" t="s">
        <v>359</v>
      </c>
      <c r="AI19" s="40"/>
      <c r="AJ19" s="40"/>
    </row>
    <row r="20" spans="1:46" s="41" customFormat="1" ht="163.5" customHeight="1" thickTop="1" thickBot="1" x14ac:dyDescent="0.3">
      <c r="A20" s="157" t="s">
        <v>167</v>
      </c>
      <c r="B20" s="174" t="s">
        <v>168</v>
      </c>
      <c r="C20" s="175" t="s">
        <v>169</v>
      </c>
      <c r="D20" s="175" t="s">
        <v>170</v>
      </c>
      <c r="E20" s="175" t="s">
        <v>171</v>
      </c>
      <c r="F20" s="176" t="s">
        <v>172</v>
      </c>
      <c r="G20" s="177" t="s">
        <v>173</v>
      </c>
      <c r="H20" s="178" t="s">
        <v>174</v>
      </c>
      <c r="I20" s="178" t="s">
        <v>175</v>
      </c>
      <c r="J20" s="178" t="s">
        <v>342</v>
      </c>
      <c r="K20" s="175" t="s">
        <v>171</v>
      </c>
      <c r="L20" s="157" t="s">
        <v>324</v>
      </c>
      <c r="M20" s="157" t="s">
        <v>360</v>
      </c>
      <c r="N20" s="157" t="s">
        <v>361</v>
      </c>
      <c r="O20" s="180">
        <v>4</v>
      </c>
      <c r="P20" s="180" t="s">
        <v>218</v>
      </c>
      <c r="Q20" s="180" t="s">
        <v>258</v>
      </c>
      <c r="R20" s="180" t="s">
        <v>258</v>
      </c>
      <c r="S20" s="180" t="s">
        <v>362</v>
      </c>
      <c r="T20" s="180">
        <v>0</v>
      </c>
      <c r="U20" s="180">
        <f t="shared" si="3"/>
        <v>4</v>
      </c>
      <c r="V20" s="180">
        <v>1</v>
      </c>
      <c r="W20" s="180">
        <v>3</v>
      </c>
      <c r="X20" s="180"/>
      <c r="Y20" s="180">
        <v>0</v>
      </c>
      <c r="Z20" s="181">
        <f>10354603.0852+19366379.48-2823015.42</f>
        <v>26897967.145199999</v>
      </c>
      <c r="AA20" s="181"/>
      <c r="AB20" s="181">
        <f>+Z20+AA20</f>
        <v>26897967.145199999</v>
      </c>
      <c r="AC20" s="181"/>
      <c r="AD20" s="181"/>
      <c r="AE20" s="181"/>
      <c r="AF20" s="181">
        <f t="shared" si="2"/>
        <v>0</v>
      </c>
      <c r="AG20" s="157" t="s">
        <v>354</v>
      </c>
      <c r="AH20" s="157" t="s">
        <v>363</v>
      </c>
      <c r="AI20" s="40"/>
      <c r="AJ20" s="40"/>
    </row>
    <row r="21" spans="1:46" s="41" customFormat="1" ht="158.25" customHeight="1" thickTop="1" thickBot="1" x14ac:dyDescent="0.3">
      <c r="A21" s="157" t="s">
        <v>167</v>
      </c>
      <c r="B21" s="174" t="s">
        <v>168</v>
      </c>
      <c r="C21" s="175" t="s">
        <v>169</v>
      </c>
      <c r="D21" s="175" t="s">
        <v>170</v>
      </c>
      <c r="E21" s="175" t="s">
        <v>171</v>
      </c>
      <c r="F21" s="176" t="s">
        <v>172</v>
      </c>
      <c r="G21" s="177" t="s">
        <v>173</v>
      </c>
      <c r="H21" s="178" t="s">
        <v>174</v>
      </c>
      <c r="I21" s="178" t="s">
        <v>175</v>
      </c>
      <c r="J21" s="178" t="s">
        <v>342</v>
      </c>
      <c r="K21" s="175" t="s">
        <v>171</v>
      </c>
      <c r="L21" s="157" t="s">
        <v>324</v>
      </c>
      <c r="M21" s="157" t="s">
        <v>364</v>
      </c>
      <c r="N21" s="157" t="s">
        <v>365</v>
      </c>
      <c r="O21" s="179">
        <v>1</v>
      </c>
      <c r="P21" s="180"/>
      <c r="Q21" s="180"/>
      <c r="R21" s="180"/>
      <c r="S21" s="180" t="s">
        <v>366</v>
      </c>
      <c r="T21" s="180">
        <v>0</v>
      </c>
      <c r="U21" s="184">
        <f t="shared" si="3"/>
        <v>1</v>
      </c>
      <c r="V21" s="184">
        <v>0.5</v>
      </c>
      <c r="W21" s="184">
        <v>0.5</v>
      </c>
      <c r="X21" s="180"/>
      <c r="Y21" s="180">
        <v>0</v>
      </c>
      <c r="Z21" s="181">
        <f>2509206.1704+38732758.96</f>
        <v>41241965.130400002</v>
      </c>
      <c r="AA21" s="181"/>
      <c r="AB21" s="181">
        <f>+Z21+AA21</f>
        <v>41241965.130400002</v>
      </c>
      <c r="AC21" s="181"/>
      <c r="AD21" s="181">
        <f>13104573.72+4777150.46</f>
        <v>17881724.18</v>
      </c>
      <c r="AE21" s="181"/>
      <c r="AF21" s="181">
        <f>+AD21+AE21</f>
        <v>17881724.18</v>
      </c>
      <c r="AG21" s="157" t="s">
        <v>354</v>
      </c>
      <c r="AH21" s="157" t="s">
        <v>367</v>
      </c>
      <c r="AI21" s="40"/>
      <c r="AJ21" s="40"/>
    </row>
    <row r="22" spans="1:46" s="249" customFormat="1" ht="23.25" customHeight="1" thickTop="1" thickBot="1" x14ac:dyDescent="0.3">
      <c r="A22" s="423" t="s">
        <v>368</v>
      </c>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245">
        <f>SUM(Z23:Z27)</f>
        <v>9039382878.9799995</v>
      </c>
      <c r="AA22" s="245">
        <f>SUM(AA23:AA27)</f>
        <v>39500000</v>
      </c>
      <c r="AB22" s="245">
        <f>SUM(AB23:AB27)</f>
        <v>9078882878.9799995</v>
      </c>
      <c r="AC22" s="245"/>
      <c r="AD22" s="245">
        <f t="shared" ref="AD22" si="4">SUM(AD23:AD27)</f>
        <v>2459503490.8399997</v>
      </c>
      <c r="AE22" s="245">
        <f t="shared" ref="AE22" si="5">SUM(AE23:AE27)</f>
        <v>0</v>
      </c>
      <c r="AF22" s="245">
        <f t="shared" ref="AF22" si="6">SUM(AF23:AF27)</f>
        <v>2459503490.8399997</v>
      </c>
      <c r="AG22" s="246"/>
      <c r="AH22" s="247"/>
      <c r="AI22" s="248"/>
      <c r="AJ22" s="248"/>
    </row>
    <row r="23" spans="1:46" s="41" customFormat="1" ht="324" customHeight="1" thickTop="1" thickBot="1" x14ac:dyDescent="0.3">
      <c r="A23" s="157" t="s">
        <v>167</v>
      </c>
      <c r="B23" s="174" t="s">
        <v>168</v>
      </c>
      <c r="C23" s="175" t="s">
        <v>169</v>
      </c>
      <c r="D23" s="175" t="s">
        <v>170</v>
      </c>
      <c r="E23" s="175" t="s">
        <v>171</v>
      </c>
      <c r="F23" s="176" t="s">
        <v>172</v>
      </c>
      <c r="G23" s="177" t="s">
        <v>173</v>
      </c>
      <c r="H23" s="178" t="s">
        <v>174</v>
      </c>
      <c r="I23" s="178" t="s">
        <v>175</v>
      </c>
      <c r="J23" s="178" t="s">
        <v>369</v>
      </c>
      <c r="K23" s="175" t="s">
        <v>326</v>
      </c>
      <c r="L23" s="157" t="s">
        <v>211</v>
      </c>
      <c r="M23" s="157" t="s">
        <v>370</v>
      </c>
      <c r="N23" s="157" t="s">
        <v>371</v>
      </c>
      <c r="O23" s="180">
        <v>10</v>
      </c>
      <c r="P23" s="180" t="s">
        <v>372</v>
      </c>
      <c r="Q23" s="180" t="s">
        <v>258</v>
      </c>
      <c r="R23" s="180" t="s">
        <v>258</v>
      </c>
      <c r="S23" s="180" t="s">
        <v>14</v>
      </c>
      <c r="T23" s="180">
        <v>2019</v>
      </c>
      <c r="U23" s="179">
        <v>1</v>
      </c>
      <c r="V23" s="179">
        <v>0.25</v>
      </c>
      <c r="W23" s="179">
        <v>0.75</v>
      </c>
      <c r="X23" s="186">
        <v>10</v>
      </c>
      <c r="Y23" s="186">
        <v>10</v>
      </c>
      <c r="Z23" s="181">
        <f>8174814630.11-300000000</f>
        <v>7874814630.1099997</v>
      </c>
      <c r="AA23" s="181"/>
      <c r="AB23" s="181">
        <f>+Z23+AA23</f>
        <v>7874814630.1099997</v>
      </c>
      <c r="AC23" s="181"/>
      <c r="AD23" s="181">
        <f>36058757+1378840305.86+879327539.28</f>
        <v>2294226602.1399999</v>
      </c>
      <c r="AE23" s="181"/>
      <c r="AF23" s="181">
        <f>+AD23+AE23</f>
        <v>2294226602.1399999</v>
      </c>
      <c r="AG23" s="157" t="s">
        <v>373</v>
      </c>
      <c r="AH23" s="156" t="s">
        <v>374</v>
      </c>
      <c r="AI23" s="40"/>
      <c r="AJ23" s="40"/>
    </row>
    <row r="24" spans="1:46" s="41" customFormat="1" ht="201.6" customHeight="1" thickTop="1" thickBot="1" x14ac:dyDescent="0.3">
      <c r="A24" s="156" t="s">
        <v>167</v>
      </c>
      <c r="B24" s="187" t="s">
        <v>168</v>
      </c>
      <c r="C24" s="188" t="s">
        <v>169</v>
      </c>
      <c r="D24" s="188" t="s">
        <v>170</v>
      </c>
      <c r="E24" s="188" t="s">
        <v>171</v>
      </c>
      <c r="F24" s="189" t="s">
        <v>172</v>
      </c>
      <c r="G24" s="190" t="s">
        <v>173</v>
      </c>
      <c r="H24" s="178" t="s">
        <v>174</v>
      </c>
      <c r="I24" s="191" t="s">
        <v>175</v>
      </c>
      <c r="J24" s="178" t="s">
        <v>369</v>
      </c>
      <c r="K24" s="175" t="s">
        <v>326</v>
      </c>
      <c r="L24" s="156" t="s">
        <v>211</v>
      </c>
      <c r="M24" s="156" t="s">
        <v>375</v>
      </c>
      <c r="N24" s="156" t="s">
        <v>376</v>
      </c>
      <c r="O24" s="192">
        <v>3</v>
      </c>
      <c r="P24" s="192" t="s">
        <v>372</v>
      </c>
      <c r="Q24" s="192" t="s">
        <v>377</v>
      </c>
      <c r="R24" s="192" t="s">
        <v>377</v>
      </c>
      <c r="S24" s="192" t="s">
        <v>378</v>
      </c>
      <c r="T24" s="192">
        <v>2019</v>
      </c>
      <c r="U24" s="179">
        <v>1</v>
      </c>
      <c r="V24" s="179">
        <v>0.25</v>
      </c>
      <c r="W24" s="179">
        <v>0.75</v>
      </c>
      <c r="X24" s="192">
        <v>0</v>
      </c>
      <c r="Y24" s="192">
        <v>0</v>
      </c>
      <c r="Z24" s="193">
        <v>300000000</v>
      </c>
      <c r="AA24" s="193"/>
      <c r="AB24" s="181">
        <f>+Z24+AA24</f>
        <v>300000000</v>
      </c>
      <c r="AC24" s="193"/>
      <c r="AD24" s="193"/>
      <c r="AE24" s="193"/>
      <c r="AF24" s="181">
        <f t="shared" ref="AF24:AF27" si="7">+AD24+AE24</f>
        <v>0</v>
      </c>
      <c r="AG24" s="157" t="s">
        <v>379</v>
      </c>
      <c r="AH24" s="156" t="s">
        <v>380</v>
      </c>
      <c r="AI24" s="40"/>
      <c r="AJ24" s="40"/>
    </row>
    <row r="25" spans="1:46" s="41" customFormat="1" ht="233.25" customHeight="1" x14ac:dyDescent="0.25">
      <c r="A25" s="157" t="s">
        <v>167</v>
      </c>
      <c r="B25" s="174" t="s">
        <v>168</v>
      </c>
      <c r="C25" s="175" t="s">
        <v>169</v>
      </c>
      <c r="D25" s="175" t="s">
        <v>170</v>
      </c>
      <c r="E25" s="175" t="s">
        <v>171</v>
      </c>
      <c r="F25" s="176" t="s">
        <v>172</v>
      </c>
      <c r="G25" s="177" t="s">
        <v>173</v>
      </c>
      <c r="H25" s="178" t="s">
        <v>174</v>
      </c>
      <c r="I25" s="178" t="s">
        <v>175</v>
      </c>
      <c r="J25" s="178" t="s">
        <v>342</v>
      </c>
      <c r="K25" s="175" t="s">
        <v>328</v>
      </c>
      <c r="L25" s="157" t="s">
        <v>211</v>
      </c>
      <c r="M25" s="157" t="s">
        <v>381</v>
      </c>
      <c r="N25" s="157" t="s">
        <v>382</v>
      </c>
      <c r="O25" s="179">
        <v>1</v>
      </c>
      <c r="P25" s="180" t="s">
        <v>372</v>
      </c>
      <c r="Q25" s="180" t="s">
        <v>258</v>
      </c>
      <c r="R25" s="180" t="s">
        <v>258</v>
      </c>
      <c r="S25" s="180" t="s">
        <v>383</v>
      </c>
      <c r="T25" s="180">
        <v>2019</v>
      </c>
      <c r="U25" s="179">
        <v>1</v>
      </c>
      <c r="V25" s="179">
        <v>0.25</v>
      </c>
      <c r="W25" s="179">
        <v>0.75</v>
      </c>
      <c r="X25" s="179"/>
      <c r="Y25" s="180">
        <v>0</v>
      </c>
      <c r="Z25" s="181">
        <f>16000000+192575000+5993248.87+300000000</f>
        <v>514568248.87</v>
      </c>
      <c r="AA25" s="181">
        <v>39500000</v>
      </c>
      <c r="AB25" s="181">
        <f>+Z25+AA25</f>
        <v>554068248.87</v>
      </c>
      <c r="AC25" s="181"/>
      <c r="AD25" s="181">
        <f>108128615.19+18850151.21+36968639.22+1329483.08</f>
        <v>165276888.70000002</v>
      </c>
      <c r="AE25" s="181"/>
      <c r="AF25" s="181">
        <f t="shared" si="7"/>
        <v>165276888.70000002</v>
      </c>
      <c r="AG25" s="157" t="s">
        <v>348</v>
      </c>
      <c r="AH25" s="157" t="s">
        <v>384</v>
      </c>
      <c r="AI25" s="40"/>
      <c r="AJ25" s="40"/>
    </row>
    <row r="26" spans="1:46" s="41" customFormat="1" ht="307.14999999999998" customHeight="1" x14ac:dyDescent="0.25">
      <c r="A26" s="157" t="s">
        <v>167</v>
      </c>
      <c r="B26" s="174" t="s">
        <v>168</v>
      </c>
      <c r="C26" s="175" t="s">
        <v>169</v>
      </c>
      <c r="D26" s="175" t="s">
        <v>170</v>
      </c>
      <c r="E26" s="175" t="s">
        <v>171</v>
      </c>
      <c r="F26" s="176" t="s">
        <v>172</v>
      </c>
      <c r="G26" s="177" t="s">
        <v>173</v>
      </c>
      <c r="H26" s="178" t="s">
        <v>174</v>
      </c>
      <c r="I26" s="178" t="s">
        <v>175</v>
      </c>
      <c r="J26" s="178" t="s">
        <v>342</v>
      </c>
      <c r="K26" s="175" t="s">
        <v>171</v>
      </c>
      <c r="L26" s="157" t="s">
        <v>211</v>
      </c>
      <c r="M26" s="157" t="s">
        <v>385</v>
      </c>
      <c r="N26" s="157" t="s">
        <v>386</v>
      </c>
      <c r="O26" s="180">
        <v>1</v>
      </c>
      <c r="P26" s="180" t="s">
        <v>372</v>
      </c>
      <c r="Q26" s="180" t="s">
        <v>258</v>
      </c>
      <c r="R26" s="180" t="s">
        <v>258</v>
      </c>
      <c r="S26" s="180" t="s">
        <v>387</v>
      </c>
      <c r="T26" s="180">
        <v>2019</v>
      </c>
      <c r="U26" s="179">
        <v>1</v>
      </c>
      <c r="V26" s="179">
        <v>0.5</v>
      </c>
      <c r="W26" s="179">
        <v>0.5</v>
      </c>
      <c r="X26" s="179"/>
      <c r="Y26" s="180">
        <v>0</v>
      </c>
      <c r="Z26" s="181">
        <v>250000000</v>
      </c>
      <c r="AA26" s="181"/>
      <c r="AB26" s="181">
        <f t="shared" ref="AB26:AB27" si="8">+Z26+AA26</f>
        <v>250000000</v>
      </c>
      <c r="AC26" s="181"/>
      <c r="AD26" s="181"/>
      <c r="AE26" s="181"/>
      <c r="AF26" s="181">
        <f t="shared" si="7"/>
        <v>0</v>
      </c>
      <c r="AG26" s="157" t="s">
        <v>348</v>
      </c>
      <c r="AH26" s="157" t="s">
        <v>388</v>
      </c>
      <c r="AI26" s="40"/>
      <c r="AJ26" s="40"/>
    </row>
    <row r="27" spans="1:46" s="41" customFormat="1" ht="145.15" customHeight="1" x14ac:dyDescent="0.25">
      <c r="A27" s="157" t="s">
        <v>167</v>
      </c>
      <c r="B27" s="174" t="s">
        <v>168</v>
      </c>
      <c r="C27" s="175" t="s">
        <v>169</v>
      </c>
      <c r="D27" s="175" t="s">
        <v>170</v>
      </c>
      <c r="E27" s="175" t="s">
        <v>171</v>
      </c>
      <c r="F27" s="176" t="s">
        <v>172</v>
      </c>
      <c r="G27" s="177" t="s">
        <v>173</v>
      </c>
      <c r="H27" s="178" t="s">
        <v>174</v>
      </c>
      <c r="I27" s="178" t="s">
        <v>175</v>
      </c>
      <c r="J27" s="178" t="s">
        <v>342</v>
      </c>
      <c r="K27" s="175" t="s">
        <v>171</v>
      </c>
      <c r="L27" s="157" t="s">
        <v>211</v>
      </c>
      <c r="M27" s="157" t="s">
        <v>389</v>
      </c>
      <c r="N27" s="157" t="s">
        <v>390</v>
      </c>
      <c r="O27" s="180">
        <v>2</v>
      </c>
      <c r="P27" s="180" t="s">
        <v>372</v>
      </c>
      <c r="Q27" s="180" t="s">
        <v>258</v>
      </c>
      <c r="R27" s="180" t="s">
        <v>258</v>
      </c>
      <c r="S27" s="180" t="s">
        <v>391</v>
      </c>
      <c r="T27" s="180">
        <v>2019</v>
      </c>
      <c r="U27" s="186">
        <f>+V27+W27</f>
        <v>2</v>
      </c>
      <c r="V27" s="180">
        <v>0</v>
      </c>
      <c r="W27" s="180">
        <v>2</v>
      </c>
      <c r="X27" s="180"/>
      <c r="Y27" s="180">
        <v>0</v>
      </c>
      <c r="Z27" s="181">
        <v>100000000</v>
      </c>
      <c r="AA27" s="181"/>
      <c r="AB27" s="181">
        <f t="shared" si="8"/>
        <v>100000000</v>
      </c>
      <c r="AC27" s="181"/>
      <c r="AD27" s="181"/>
      <c r="AE27" s="181"/>
      <c r="AF27" s="181">
        <f t="shared" si="7"/>
        <v>0</v>
      </c>
      <c r="AG27" s="157" t="s">
        <v>348</v>
      </c>
      <c r="AH27" s="157" t="s">
        <v>392</v>
      </c>
      <c r="AI27" s="40"/>
      <c r="AJ27" s="40"/>
    </row>
    <row r="28" spans="1:46" s="41" customFormat="1" ht="22.15" customHeight="1" thickTop="1" thickBot="1" x14ac:dyDescent="0.3">
      <c r="A28" s="425" t="s">
        <v>393</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185">
        <f>SUM(Z29:Z36)</f>
        <v>996475363.55999994</v>
      </c>
      <c r="AA28" s="185">
        <f>SUM(AA29:AA36)</f>
        <v>-103500000</v>
      </c>
      <c r="AB28" s="185">
        <f>SUM(AB29:AB36)</f>
        <v>892975363.55999994</v>
      </c>
      <c r="AC28" s="185"/>
      <c r="AD28" s="185">
        <f t="shared" ref="AD28:AF28" si="9">SUM(AD29:AD36)</f>
        <v>37132683.409999996</v>
      </c>
      <c r="AE28" s="185">
        <f t="shared" si="9"/>
        <v>0</v>
      </c>
      <c r="AF28" s="185">
        <f t="shared" si="9"/>
        <v>37132683.409999996</v>
      </c>
      <c r="AG28" s="182"/>
      <c r="AH28" s="183"/>
      <c r="AI28" s="40"/>
      <c r="AJ28" s="40"/>
    </row>
    <row r="29" spans="1:46" s="41" customFormat="1" ht="201.6" customHeight="1" x14ac:dyDescent="0.25">
      <c r="A29" s="157" t="s">
        <v>167</v>
      </c>
      <c r="B29" s="174" t="s">
        <v>168</v>
      </c>
      <c r="C29" s="175" t="s">
        <v>169</v>
      </c>
      <c r="D29" s="175" t="s">
        <v>170</v>
      </c>
      <c r="E29" s="175" t="s">
        <v>171</v>
      </c>
      <c r="F29" s="176" t="s">
        <v>172</v>
      </c>
      <c r="G29" s="177" t="s">
        <v>173</v>
      </c>
      <c r="H29" s="178" t="s">
        <v>174</v>
      </c>
      <c r="I29" s="178" t="s">
        <v>175</v>
      </c>
      <c r="J29" s="178" t="s">
        <v>342</v>
      </c>
      <c r="K29" s="175" t="s">
        <v>171</v>
      </c>
      <c r="L29" s="157" t="s">
        <v>325</v>
      </c>
      <c r="M29" s="157" t="s">
        <v>394</v>
      </c>
      <c r="N29" s="157" t="s">
        <v>395</v>
      </c>
      <c r="O29" s="180">
        <v>2</v>
      </c>
      <c r="P29" s="180" t="s">
        <v>396</v>
      </c>
      <c r="Q29" s="180" t="s">
        <v>258</v>
      </c>
      <c r="R29" s="180" t="s">
        <v>258</v>
      </c>
      <c r="S29" s="180" t="s">
        <v>387</v>
      </c>
      <c r="T29" s="180">
        <v>2019</v>
      </c>
      <c r="U29" s="179">
        <v>0.25</v>
      </c>
      <c r="V29" s="194">
        <v>0.125</v>
      </c>
      <c r="W29" s="194">
        <v>0.125</v>
      </c>
      <c r="X29" s="194"/>
      <c r="Y29" s="180">
        <v>0</v>
      </c>
      <c r="Z29" s="181">
        <v>10000000</v>
      </c>
      <c r="AA29" s="181"/>
      <c r="AB29" s="204">
        <f t="shared" ref="AB29:AB34" si="10">+Z29+AA29</f>
        <v>10000000</v>
      </c>
      <c r="AC29" s="181"/>
      <c r="AD29" s="181"/>
      <c r="AE29" s="181"/>
      <c r="AF29" s="181">
        <f t="shared" ref="AF29:AF35" si="11">+AD29+AE29</f>
        <v>0</v>
      </c>
      <c r="AG29" s="157" t="s">
        <v>348</v>
      </c>
      <c r="AH29" s="157" t="s">
        <v>397</v>
      </c>
      <c r="AI29" s="40"/>
      <c r="AJ29" s="40"/>
    </row>
    <row r="30" spans="1:46" s="41" customFormat="1" ht="207" customHeight="1" thickTop="1" thickBot="1" x14ac:dyDescent="0.3">
      <c r="A30" s="157" t="s">
        <v>167</v>
      </c>
      <c r="B30" s="174" t="s">
        <v>168</v>
      </c>
      <c r="C30" s="175" t="s">
        <v>169</v>
      </c>
      <c r="D30" s="175" t="s">
        <v>170</v>
      </c>
      <c r="E30" s="175" t="s">
        <v>171</v>
      </c>
      <c r="F30" s="176" t="s">
        <v>172</v>
      </c>
      <c r="G30" s="177" t="s">
        <v>173</v>
      </c>
      <c r="H30" s="178" t="s">
        <v>174</v>
      </c>
      <c r="I30" s="178" t="s">
        <v>175</v>
      </c>
      <c r="J30" s="178" t="s">
        <v>342</v>
      </c>
      <c r="K30" s="175" t="s">
        <v>398</v>
      </c>
      <c r="L30" s="157" t="s">
        <v>325</v>
      </c>
      <c r="M30" s="175" t="s">
        <v>399</v>
      </c>
      <c r="N30" s="157" t="s">
        <v>400</v>
      </c>
      <c r="O30" s="184">
        <v>1</v>
      </c>
      <c r="P30" s="180" t="s">
        <v>396</v>
      </c>
      <c r="Q30" s="180" t="s">
        <v>258</v>
      </c>
      <c r="R30" s="180" t="s">
        <v>258</v>
      </c>
      <c r="S30" s="180" t="s">
        <v>401</v>
      </c>
      <c r="T30" s="180">
        <v>1</v>
      </c>
      <c r="U30" s="184">
        <v>1</v>
      </c>
      <c r="V30" s="194"/>
      <c r="W30" s="184">
        <v>1</v>
      </c>
      <c r="X30" s="194"/>
      <c r="Y30" s="180"/>
      <c r="Z30" s="181">
        <v>20000000</v>
      </c>
      <c r="AA30" s="181"/>
      <c r="AB30" s="204">
        <f t="shared" si="10"/>
        <v>20000000</v>
      </c>
      <c r="AC30" s="181"/>
      <c r="AD30" s="181"/>
      <c r="AE30" s="181"/>
      <c r="AF30" s="181">
        <f t="shared" si="11"/>
        <v>0</v>
      </c>
      <c r="AG30" s="157" t="s">
        <v>348</v>
      </c>
      <c r="AH30" s="157" t="s">
        <v>402</v>
      </c>
      <c r="AI30" s="40"/>
      <c r="AJ30" s="40"/>
      <c r="AK30" s="40"/>
      <c r="AL30" s="40"/>
      <c r="AM30" s="40"/>
      <c r="AN30" s="40"/>
      <c r="AO30" s="40"/>
      <c r="AP30" s="40"/>
      <c r="AQ30" s="40"/>
      <c r="AR30" s="40"/>
      <c r="AS30" s="40"/>
      <c r="AT30" s="40"/>
    </row>
    <row r="31" spans="1:46" s="41" customFormat="1" ht="295.14999999999998" customHeight="1" x14ac:dyDescent="0.25">
      <c r="A31" s="157" t="s">
        <v>167</v>
      </c>
      <c r="B31" s="174" t="s">
        <v>168</v>
      </c>
      <c r="C31" s="175" t="s">
        <v>169</v>
      </c>
      <c r="D31" s="175" t="s">
        <v>170</v>
      </c>
      <c r="E31" s="175" t="s">
        <v>171</v>
      </c>
      <c r="F31" s="176" t="s">
        <v>172</v>
      </c>
      <c r="G31" s="177" t="s">
        <v>173</v>
      </c>
      <c r="H31" s="178" t="s">
        <v>174</v>
      </c>
      <c r="I31" s="178" t="s">
        <v>175</v>
      </c>
      <c r="J31" s="178" t="s">
        <v>342</v>
      </c>
      <c r="K31" s="175" t="s">
        <v>398</v>
      </c>
      <c r="L31" s="157" t="s">
        <v>325</v>
      </c>
      <c r="M31" s="175" t="s">
        <v>403</v>
      </c>
      <c r="N31" s="157" t="s">
        <v>404</v>
      </c>
      <c r="O31" s="180">
        <v>1</v>
      </c>
      <c r="P31" s="180" t="s">
        <v>346</v>
      </c>
      <c r="Q31" s="180" t="s">
        <v>258</v>
      </c>
      <c r="R31" s="180" t="s">
        <v>258</v>
      </c>
      <c r="S31" s="180" t="s">
        <v>405</v>
      </c>
      <c r="T31" s="180">
        <v>1</v>
      </c>
      <c r="U31" s="180">
        <v>1</v>
      </c>
      <c r="V31" s="180">
        <v>0</v>
      </c>
      <c r="W31" s="180">
        <v>1</v>
      </c>
      <c r="X31" s="180"/>
      <c r="Y31" s="180">
        <v>0</v>
      </c>
      <c r="Z31" s="181">
        <v>5000000</v>
      </c>
      <c r="AA31" s="181"/>
      <c r="AB31" s="204">
        <f t="shared" si="10"/>
        <v>5000000</v>
      </c>
      <c r="AC31" s="181"/>
      <c r="AD31" s="181"/>
      <c r="AE31" s="181"/>
      <c r="AF31" s="181">
        <f t="shared" si="11"/>
        <v>0</v>
      </c>
      <c r="AG31" s="157" t="s">
        <v>348</v>
      </c>
      <c r="AH31" s="157" t="s">
        <v>406</v>
      </c>
      <c r="AI31" s="40"/>
      <c r="AJ31" s="40"/>
      <c r="AK31" s="40"/>
      <c r="AL31" s="40"/>
      <c r="AM31" s="40"/>
      <c r="AN31" s="40"/>
      <c r="AO31" s="40"/>
      <c r="AP31" s="40"/>
      <c r="AQ31" s="40"/>
      <c r="AR31" s="40"/>
      <c r="AS31" s="40"/>
      <c r="AT31" s="40"/>
    </row>
    <row r="32" spans="1:46" s="41" customFormat="1" ht="401.45" customHeight="1" thickTop="1" thickBot="1" x14ac:dyDescent="0.3">
      <c r="A32" s="157" t="s">
        <v>167</v>
      </c>
      <c r="B32" s="174" t="s">
        <v>168</v>
      </c>
      <c r="C32" s="175" t="s">
        <v>169</v>
      </c>
      <c r="D32" s="175" t="s">
        <v>170</v>
      </c>
      <c r="E32" s="175" t="s">
        <v>171</v>
      </c>
      <c r="F32" s="176" t="s">
        <v>172</v>
      </c>
      <c r="G32" s="177" t="s">
        <v>173</v>
      </c>
      <c r="H32" s="178" t="s">
        <v>174</v>
      </c>
      <c r="I32" s="178" t="s">
        <v>175</v>
      </c>
      <c r="J32" s="178" t="s">
        <v>342</v>
      </c>
      <c r="K32" s="175" t="s">
        <v>329</v>
      </c>
      <c r="L32" s="157" t="s">
        <v>325</v>
      </c>
      <c r="M32" s="157" t="s">
        <v>407</v>
      </c>
      <c r="N32" s="157" t="s">
        <v>408</v>
      </c>
      <c r="O32" s="180">
        <v>1</v>
      </c>
      <c r="P32" s="180" t="s">
        <v>409</v>
      </c>
      <c r="Q32" s="180" t="s">
        <v>377</v>
      </c>
      <c r="R32" s="180" t="s">
        <v>377</v>
      </c>
      <c r="S32" s="180" t="s">
        <v>410</v>
      </c>
      <c r="T32" s="180">
        <v>0</v>
      </c>
      <c r="U32" s="180">
        <v>1</v>
      </c>
      <c r="V32" s="180">
        <v>0</v>
      </c>
      <c r="W32" s="180">
        <v>1</v>
      </c>
      <c r="X32" s="180">
        <v>0</v>
      </c>
      <c r="Y32" s="180">
        <v>0</v>
      </c>
      <c r="Z32" s="181">
        <v>45000000</v>
      </c>
      <c r="AA32" s="181"/>
      <c r="AB32" s="204">
        <f t="shared" si="10"/>
        <v>45000000</v>
      </c>
      <c r="AC32" s="181"/>
      <c r="AD32" s="181"/>
      <c r="AE32" s="181"/>
      <c r="AF32" s="181">
        <f t="shared" si="11"/>
        <v>0</v>
      </c>
      <c r="AG32" s="157" t="s">
        <v>348</v>
      </c>
      <c r="AH32" s="158" t="s">
        <v>411</v>
      </c>
      <c r="AI32" s="40"/>
      <c r="AJ32" s="40"/>
      <c r="AK32" s="40"/>
      <c r="AL32" s="40"/>
      <c r="AM32" s="40"/>
      <c r="AN32" s="40"/>
      <c r="AO32" s="40"/>
      <c r="AP32" s="40"/>
      <c r="AQ32" s="40"/>
      <c r="AR32" s="40"/>
      <c r="AS32" s="40"/>
      <c r="AT32" s="40"/>
    </row>
    <row r="33" spans="1:49" s="41" customFormat="1" ht="273.60000000000002" customHeight="1" thickTop="1" thickBot="1" x14ac:dyDescent="0.3">
      <c r="A33" s="157" t="s">
        <v>167</v>
      </c>
      <c r="B33" s="174" t="s">
        <v>168</v>
      </c>
      <c r="C33" s="175" t="s">
        <v>169</v>
      </c>
      <c r="D33" s="175" t="s">
        <v>170</v>
      </c>
      <c r="E33" s="175" t="s">
        <v>171</v>
      </c>
      <c r="F33" s="176" t="s">
        <v>172</v>
      </c>
      <c r="G33" s="177" t="s">
        <v>173</v>
      </c>
      <c r="H33" s="178" t="s">
        <v>174</v>
      </c>
      <c r="I33" s="178" t="s">
        <v>175</v>
      </c>
      <c r="J33" s="178" t="s">
        <v>342</v>
      </c>
      <c r="K33" s="175" t="s">
        <v>327</v>
      </c>
      <c r="L33" s="157" t="s">
        <v>325</v>
      </c>
      <c r="M33" s="157" t="s">
        <v>412</v>
      </c>
      <c r="N33" s="157" t="s">
        <v>413</v>
      </c>
      <c r="O33" s="180">
        <v>6</v>
      </c>
      <c r="P33" s="157" t="s">
        <v>218</v>
      </c>
      <c r="Q33" s="179">
        <v>0.5</v>
      </c>
      <c r="R33" s="179">
        <v>0.5</v>
      </c>
      <c r="S33" s="180" t="s">
        <v>414</v>
      </c>
      <c r="T33" s="180" t="s">
        <v>182</v>
      </c>
      <c r="U33" s="180">
        <v>6</v>
      </c>
      <c r="V33" s="180">
        <v>3</v>
      </c>
      <c r="W33" s="180">
        <v>3</v>
      </c>
      <c r="X33" s="180"/>
      <c r="Y33" s="180"/>
      <c r="Z33" s="195">
        <v>40000000</v>
      </c>
      <c r="AA33" s="195"/>
      <c r="AB33" s="204">
        <f t="shared" si="10"/>
        <v>40000000</v>
      </c>
      <c r="AC33" s="195"/>
      <c r="AD33" s="195"/>
      <c r="AE33" s="195"/>
      <c r="AF33" s="181">
        <f t="shared" si="11"/>
        <v>0</v>
      </c>
      <c r="AG33" s="157" t="s">
        <v>348</v>
      </c>
      <c r="AH33" s="158" t="s">
        <v>415</v>
      </c>
      <c r="AI33" s="40"/>
      <c r="AJ33" s="319"/>
      <c r="AK33" s="40"/>
      <c r="AL33" s="40"/>
      <c r="AM33" s="40"/>
      <c r="AN33" s="40"/>
      <c r="AO33" s="40"/>
      <c r="AP33" s="40"/>
      <c r="AQ33" s="40"/>
      <c r="AR33" s="40"/>
      <c r="AS33" s="40"/>
      <c r="AT33" s="40"/>
    </row>
    <row r="34" spans="1:49" s="41" customFormat="1" ht="189" customHeight="1" thickTop="1" thickBot="1" x14ac:dyDescent="0.3">
      <c r="A34" s="157" t="s">
        <v>167</v>
      </c>
      <c r="B34" s="174" t="s">
        <v>168</v>
      </c>
      <c r="C34" s="175" t="s">
        <v>169</v>
      </c>
      <c r="D34" s="175" t="s">
        <v>170</v>
      </c>
      <c r="E34" s="175" t="s">
        <v>171</v>
      </c>
      <c r="F34" s="176" t="s">
        <v>172</v>
      </c>
      <c r="G34" s="177" t="s">
        <v>173</v>
      </c>
      <c r="H34" s="178" t="s">
        <v>174</v>
      </c>
      <c r="I34" s="178" t="s">
        <v>175</v>
      </c>
      <c r="J34" s="178" t="s">
        <v>342</v>
      </c>
      <c r="K34" s="175" t="s">
        <v>233</v>
      </c>
      <c r="L34" s="157" t="s">
        <v>325</v>
      </c>
      <c r="M34" s="157" t="s">
        <v>416</v>
      </c>
      <c r="N34" s="157" t="s">
        <v>417</v>
      </c>
      <c r="O34" s="180">
        <v>6</v>
      </c>
      <c r="P34" s="157" t="s">
        <v>208</v>
      </c>
      <c r="Q34" s="179">
        <v>0.5</v>
      </c>
      <c r="R34" s="179">
        <v>0.5</v>
      </c>
      <c r="S34" s="180" t="s">
        <v>414</v>
      </c>
      <c r="T34" s="180">
        <v>0</v>
      </c>
      <c r="U34" s="180">
        <v>6</v>
      </c>
      <c r="V34" s="180">
        <v>3</v>
      </c>
      <c r="W34" s="180">
        <v>3</v>
      </c>
      <c r="X34" s="180">
        <v>0</v>
      </c>
      <c r="Y34" s="180">
        <v>0</v>
      </c>
      <c r="Z34" s="196">
        <v>30000000</v>
      </c>
      <c r="AA34" s="196"/>
      <c r="AB34" s="204">
        <f t="shared" si="10"/>
        <v>30000000</v>
      </c>
      <c r="AC34" s="196"/>
      <c r="AD34" s="196"/>
      <c r="AE34" s="196"/>
      <c r="AF34" s="181">
        <f t="shared" si="11"/>
        <v>0</v>
      </c>
      <c r="AG34" s="157" t="s">
        <v>348</v>
      </c>
      <c r="AH34" s="197" t="s">
        <v>418</v>
      </c>
      <c r="AI34" s="42"/>
      <c r="AJ34" s="319"/>
      <c r="AK34" s="40"/>
      <c r="AL34" s="40"/>
      <c r="AM34" s="40"/>
      <c r="AN34" s="40"/>
      <c r="AO34" s="40"/>
      <c r="AP34" s="40"/>
      <c r="AQ34" s="40"/>
      <c r="AR34" s="40"/>
      <c r="AS34" s="40"/>
      <c r="AT34" s="40"/>
    </row>
    <row r="35" spans="1:49" s="41" customFormat="1" ht="409.6" customHeight="1" thickTop="1" thickBot="1" x14ac:dyDescent="0.25">
      <c r="A35" s="157" t="s">
        <v>167</v>
      </c>
      <c r="B35" s="174" t="s">
        <v>168</v>
      </c>
      <c r="C35" s="175" t="s">
        <v>169</v>
      </c>
      <c r="D35" s="175" t="s">
        <v>170</v>
      </c>
      <c r="E35" s="175" t="s">
        <v>171</v>
      </c>
      <c r="F35" s="176" t="s">
        <v>172</v>
      </c>
      <c r="G35" s="177" t="s">
        <v>173</v>
      </c>
      <c r="H35" s="178" t="s">
        <v>174</v>
      </c>
      <c r="I35" s="198" t="s">
        <v>175</v>
      </c>
      <c r="J35" s="198" t="s">
        <v>342</v>
      </c>
      <c r="K35" s="199" t="s">
        <v>419</v>
      </c>
      <c r="L35" s="200" t="s">
        <v>325</v>
      </c>
      <c r="M35" s="200" t="s">
        <v>420</v>
      </c>
      <c r="N35" s="200" t="s">
        <v>421</v>
      </c>
      <c r="O35" s="201">
        <v>1</v>
      </c>
      <c r="P35" s="202" t="s">
        <v>346</v>
      </c>
      <c r="Q35" s="202" t="s">
        <v>258</v>
      </c>
      <c r="R35" s="202" t="s">
        <v>258</v>
      </c>
      <c r="S35" s="202" t="s">
        <v>422</v>
      </c>
      <c r="T35" s="202">
        <v>0</v>
      </c>
      <c r="U35" s="203">
        <v>1</v>
      </c>
      <c r="V35" s="203">
        <v>0.4</v>
      </c>
      <c r="W35" s="203">
        <v>0.6</v>
      </c>
      <c r="X35" s="202">
        <v>0</v>
      </c>
      <c r="Y35" s="202">
        <v>0</v>
      </c>
      <c r="Z35" s="204">
        <f>835000000-30000000</f>
        <v>805000000</v>
      </c>
      <c r="AA35" s="204">
        <v>-103500000</v>
      </c>
      <c r="AB35" s="204">
        <f>+Z35+AA35</f>
        <v>701500000</v>
      </c>
      <c r="AC35" s="204"/>
      <c r="AD35" s="204">
        <f>8310105.45+12525523.58+2172867.82+4895880.31</f>
        <v>27904377.16</v>
      </c>
      <c r="AE35" s="204"/>
      <c r="AF35" s="181">
        <f t="shared" si="11"/>
        <v>27904377.16</v>
      </c>
      <c r="AG35" s="200" t="s">
        <v>348</v>
      </c>
      <c r="AH35" s="159" t="s">
        <v>579</v>
      </c>
      <c r="AI35" s="103"/>
      <c r="AJ35" s="103"/>
      <c r="AK35" s="104"/>
      <c r="AL35" s="104"/>
      <c r="AM35" s="105"/>
      <c r="AN35" s="106"/>
      <c r="AO35" s="106"/>
      <c r="AP35" s="106"/>
      <c r="AQ35" s="107"/>
      <c r="AR35" s="108"/>
      <c r="AS35" s="108"/>
      <c r="AT35" s="108"/>
      <c r="AW35" s="102" t="s">
        <v>423</v>
      </c>
    </row>
    <row r="36" spans="1:49" s="41" customFormat="1" ht="187.15" customHeight="1" thickTop="1" thickBot="1" x14ac:dyDescent="0.3">
      <c r="A36" s="157" t="s">
        <v>167</v>
      </c>
      <c r="B36" s="174" t="s">
        <v>168</v>
      </c>
      <c r="C36" s="175" t="s">
        <v>169</v>
      </c>
      <c r="D36" s="175" t="s">
        <v>170</v>
      </c>
      <c r="E36" s="175" t="s">
        <v>171</v>
      </c>
      <c r="F36" s="176" t="s">
        <v>172</v>
      </c>
      <c r="G36" s="177" t="s">
        <v>173</v>
      </c>
      <c r="H36" s="178" t="s">
        <v>174</v>
      </c>
      <c r="I36" s="178" t="s">
        <v>175</v>
      </c>
      <c r="J36" s="178" t="s">
        <v>342</v>
      </c>
      <c r="K36" s="175" t="s">
        <v>398</v>
      </c>
      <c r="L36" s="157" t="s">
        <v>325</v>
      </c>
      <c r="M36" s="157" t="s">
        <v>424</v>
      </c>
      <c r="N36" s="157" t="s">
        <v>425</v>
      </c>
      <c r="O36" s="179">
        <v>1</v>
      </c>
      <c r="P36" s="180" t="s">
        <v>346</v>
      </c>
      <c r="Q36" s="180" t="s">
        <v>258</v>
      </c>
      <c r="R36" s="180" t="s">
        <v>258</v>
      </c>
      <c r="S36" s="180" t="s">
        <v>426</v>
      </c>
      <c r="T36" s="180">
        <v>0</v>
      </c>
      <c r="U36" s="179">
        <v>1</v>
      </c>
      <c r="V36" s="179">
        <v>0.4</v>
      </c>
      <c r="W36" s="179">
        <v>0.6</v>
      </c>
      <c r="X36" s="180"/>
      <c r="Y36" s="180">
        <v>0</v>
      </c>
      <c r="Z36" s="181">
        <f>30000000+11475363.56</f>
        <v>41475363.560000002</v>
      </c>
      <c r="AA36" s="181"/>
      <c r="AB36" s="204">
        <f>+Z36+AA36</f>
        <v>41475363.560000002</v>
      </c>
      <c r="AC36" s="181"/>
      <c r="AD36" s="265">
        <f>7055438.43+2172867.82</f>
        <v>9228306.25</v>
      </c>
      <c r="AE36" s="265"/>
      <c r="AF36" s="265">
        <f>+AD36+AE36</f>
        <v>9228306.25</v>
      </c>
      <c r="AG36" s="202" t="s">
        <v>348</v>
      </c>
      <c r="AH36" s="157" t="s">
        <v>427</v>
      </c>
      <c r="AI36" s="40"/>
      <c r="AJ36" s="319"/>
    </row>
    <row r="37" spans="1:49" s="41" customFormat="1" ht="48.75" customHeight="1" thickTop="1" thickBot="1" x14ac:dyDescent="0.3">
      <c r="A37" s="425" t="s">
        <v>428</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205">
        <f>SUM(Z38:Z42)</f>
        <v>1224676366.2720001</v>
      </c>
      <c r="AA37" s="205">
        <f t="shared" ref="AA37:AB37" si="12">SUM(AA38:AA42)</f>
        <v>3500000</v>
      </c>
      <c r="AB37" s="205">
        <f t="shared" si="12"/>
        <v>1228176366.2720001</v>
      </c>
      <c r="AC37" s="205"/>
      <c r="AD37" s="205">
        <f>SUM(AD38:AD42)</f>
        <v>83781713.689999998</v>
      </c>
      <c r="AE37" s="205">
        <f t="shared" ref="AE37:AF37" si="13">SUM(AE38:AE42)</f>
        <v>0</v>
      </c>
      <c r="AF37" s="205">
        <f t="shared" si="13"/>
        <v>83781713.689999998</v>
      </c>
      <c r="AG37" s="182"/>
      <c r="AH37" s="183"/>
      <c r="AI37" s="40"/>
      <c r="AJ37" s="320">
        <v>12821758.199999999</v>
      </c>
    </row>
    <row r="38" spans="1:49" s="41" customFormat="1" ht="134.44999999999999" customHeight="1" thickTop="1" thickBot="1" x14ac:dyDescent="0.3">
      <c r="A38" s="157" t="s">
        <v>167</v>
      </c>
      <c r="B38" s="174" t="s">
        <v>168</v>
      </c>
      <c r="C38" s="175" t="s">
        <v>169</v>
      </c>
      <c r="D38" s="175" t="s">
        <v>170</v>
      </c>
      <c r="E38" s="175" t="s">
        <v>171</v>
      </c>
      <c r="F38" s="176" t="s">
        <v>172</v>
      </c>
      <c r="G38" s="177" t="s">
        <v>173</v>
      </c>
      <c r="H38" s="178" t="s">
        <v>174</v>
      </c>
      <c r="I38" s="178" t="s">
        <v>175</v>
      </c>
      <c r="J38" s="178" t="s">
        <v>429</v>
      </c>
      <c r="K38" s="175" t="s">
        <v>328</v>
      </c>
      <c r="L38" s="157" t="s">
        <v>430</v>
      </c>
      <c r="M38" s="157" t="s">
        <v>431</v>
      </c>
      <c r="N38" s="157" t="s">
        <v>432</v>
      </c>
      <c r="O38" s="186">
        <v>1</v>
      </c>
      <c r="P38" s="157" t="s">
        <v>208</v>
      </c>
      <c r="Q38" s="180" t="s">
        <v>182</v>
      </c>
      <c r="R38" s="180" t="s">
        <v>182</v>
      </c>
      <c r="S38" s="180" t="s">
        <v>433</v>
      </c>
      <c r="T38" s="180">
        <v>0</v>
      </c>
      <c r="U38" s="180">
        <v>1</v>
      </c>
      <c r="V38" s="180">
        <v>0</v>
      </c>
      <c r="W38" s="184">
        <v>1</v>
      </c>
      <c r="X38" s="180"/>
      <c r="Y38" s="180">
        <v>0</v>
      </c>
      <c r="Z38" s="195">
        <v>100000000</v>
      </c>
      <c r="AA38" s="195"/>
      <c r="AB38" s="195">
        <f>+Z38+AA38</f>
        <v>100000000</v>
      </c>
      <c r="AC38" s="195"/>
      <c r="AD38" s="195">
        <f>+Hoja1!C51+1282175.82</f>
        <v>4857012.1529999999</v>
      </c>
      <c r="AE38" s="195"/>
      <c r="AF38" s="195">
        <f>+AD38+AE38</f>
        <v>4857012.1529999999</v>
      </c>
      <c r="AG38" s="157" t="s">
        <v>348</v>
      </c>
      <c r="AH38" s="158" t="s">
        <v>434</v>
      </c>
      <c r="AI38" s="316">
        <v>0.1</v>
      </c>
      <c r="AJ38" s="319">
        <f>+AI38*AJ37</f>
        <v>1282175.82</v>
      </c>
    </row>
    <row r="39" spans="1:49" s="41" customFormat="1" ht="156" customHeight="1" thickTop="1" thickBot="1" x14ac:dyDescent="0.3">
      <c r="A39" s="157" t="s">
        <v>167</v>
      </c>
      <c r="B39" s="174" t="s">
        <v>168</v>
      </c>
      <c r="C39" s="175" t="s">
        <v>169</v>
      </c>
      <c r="D39" s="175" t="s">
        <v>170</v>
      </c>
      <c r="E39" s="175" t="s">
        <v>171</v>
      </c>
      <c r="F39" s="176" t="s">
        <v>172</v>
      </c>
      <c r="G39" s="177" t="s">
        <v>173</v>
      </c>
      <c r="H39" s="178" t="s">
        <v>174</v>
      </c>
      <c r="I39" s="178" t="s">
        <v>175</v>
      </c>
      <c r="J39" s="178" t="s">
        <v>429</v>
      </c>
      <c r="K39" s="175" t="s">
        <v>328</v>
      </c>
      <c r="L39" s="157" t="s">
        <v>430</v>
      </c>
      <c r="M39" s="157" t="s">
        <v>435</v>
      </c>
      <c r="N39" s="157" t="s">
        <v>436</v>
      </c>
      <c r="O39" s="186">
        <v>1</v>
      </c>
      <c r="P39" s="157" t="s">
        <v>208</v>
      </c>
      <c r="Q39" s="180" t="s">
        <v>182</v>
      </c>
      <c r="R39" s="180" t="s">
        <v>182</v>
      </c>
      <c r="S39" s="180" t="s">
        <v>437</v>
      </c>
      <c r="T39" s="180">
        <v>0</v>
      </c>
      <c r="U39" s="184">
        <v>1</v>
      </c>
      <c r="V39" s="180">
        <v>0</v>
      </c>
      <c r="W39" s="184">
        <v>1</v>
      </c>
      <c r="X39" s="180">
        <v>0</v>
      </c>
      <c r="Y39" s="180">
        <v>0</v>
      </c>
      <c r="Z39" s="196">
        <v>150000000</v>
      </c>
      <c r="AA39" s="196"/>
      <c r="AB39" s="195">
        <f t="shared" ref="AB39:AB42" si="14">+Z39+AA39</f>
        <v>150000000</v>
      </c>
      <c r="AC39" s="196"/>
      <c r="AD39" s="195">
        <f>+Hoja1!C52+1282175.82</f>
        <v>4857012.1529999999</v>
      </c>
      <c r="AE39" s="196"/>
      <c r="AF39" s="195">
        <f t="shared" ref="AF39:AF42" si="15">+AD39+AE39</f>
        <v>4857012.1529999999</v>
      </c>
      <c r="AG39" s="157" t="s">
        <v>348</v>
      </c>
      <c r="AH39" s="197" t="s">
        <v>438</v>
      </c>
      <c r="AI39" s="317">
        <v>0.1</v>
      </c>
      <c r="AJ39" s="319">
        <f>+AJ37*AI39</f>
        <v>1282175.82</v>
      </c>
    </row>
    <row r="40" spans="1:49" s="41" customFormat="1" ht="119.45" customHeight="1" thickTop="1" thickBot="1" x14ac:dyDescent="0.3">
      <c r="A40" s="157" t="s">
        <v>167</v>
      </c>
      <c r="B40" s="174" t="s">
        <v>168</v>
      </c>
      <c r="C40" s="175" t="s">
        <v>169</v>
      </c>
      <c r="D40" s="175" t="s">
        <v>170</v>
      </c>
      <c r="E40" s="175" t="s">
        <v>171</v>
      </c>
      <c r="F40" s="176" t="s">
        <v>172</v>
      </c>
      <c r="G40" s="177" t="s">
        <v>173</v>
      </c>
      <c r="H40" s="178" t="s">
        <v>174</v>
      </c>
      <c r="I40" s="178" t="s">
        <v>175</v>
      </c>
      <c r="J40" s="178" t="s">
        <v>429</v>
      </c>
      <c r="K40" s="175" t="s">
        <v>328</v>
      </c>
      <c r="L40" s="157" t="s">
        <v>430</v>
      </c>
      <c r="M40" s="157" t="s">
        <v>439</v>
      </c>
      <c r="N40" s="157" t="s">
        <v>440</v>
      </c>
      <c r="O40" s="180">
        <v>1</v>
      </c>
      <c r="P40" s="157" t="s">
        <v>208</v>
      </c>
      <c r="Q40" s="180" t="s">
        <v>182</v>
      </c>
      <c r="R40" s="180" t="s">
        <v>182</v>
      </c>
      <c r="S40" s="180" t="s">
        <v>433</v>
      </c>
      <c r="T40" s="180">
        <v>0</v>
      </c>
      <c r="U40" s="184">
        <v>1</v>
      </c>
      <c r="V40" s="180">
        <v>0</v>
      </c>
      <c r="W40" s="179">
        <v>1</v>
      </c>
      <c r="X40" s="180">
        <v>0</v>
      </c>
      <c r="Y40" s="180">
        <v>0</v>
      </c>
      <c r="Z40" s="196">
        <v>100000000</v>
      </c>
      <c r="AA40" s="196"/>
      <c r="AB40" s="195">
        <f t="shared" si="14"/>
        <v>100000000</v>
      </c>
      <c r="AC40" s="196"/>
      <c r="AD40" s="195">
        <f>+Hoja1!C53+1282175.82</f>
        <v>4857012.1529999999</v>
      </c>
      <c r="AE40" s="196"/>
      <c r="AF40" s="195">
        <f t="shared" si="15"/>
        <v>4857012.1529999999</v>
      </c>
      <c r="AG40" s="157" t="s">
        <v>348</v>
      </c>
      <c r="AH40" s="197" t="s">
        <v>441</v>
      </c>
      <c r="AI40" s="317">
        <v>0.1</v>
      </c>
      <c r="AJ40" s="319">
        <f>+AJ37*AI40</f>
        <v>1282175.82</v>
      </c>
    </row>
    <row r="41" spans="1:49" s="41" customFormat="1" ht="277.89999999999998" customHeight="1" thickTop="1" thickBot="1" x14ac:dyDescent="0.3">
      <c r="A41" s="180" t="s">
        <v>167</v>
      </c>
      <c r="B41" s="180" t="s">
        <v>168</v>
      </c>
      <c r="C41" s="180" t="s">
        <v>169</v>
      </c>
      <c r="D41" s="180" t="s">
        <v>170</v>
      </c>
      <c r="E41" s="180" t="s">
        <v>171</v>
      </c>
      <c r="F41" s="180" t="s">
        <v>172</v>
      </c>
      <c r="G41" s="180" t="s">
        <v>173</v>
      </c>
      <c r="H41" s="180" t="s">
        <v>174</v>
      </c>
      <c r="I41" s="180" t="s">
        <v>175</v>
      </c>
      <c r="J41" s="180" t="s">
        <v>429</v>
      </c>
      <c r="K41" s="180" t="s">
        <v>328</v>
      </c>
      <c r="L41" s="180" t="s">
        <v>430</v>
      </c>
      <c r="M41" s="260" t="s">
        <v>442</v>
      </c>
      <c r="N41" s="197" t="s">
        <v>443</v>
      </c>
      <c r="O41" s="180">
        <v>5</v>
      </c>
      <c r="P41" s="180" t="s">
        <v>409</v>
      </c>
      <c r="Q41" s="180" t="s">
        <v>377</v>
      </c>
      <c r="R41" s="180" t="s">
        <v>377</v>
      </c>
      <c r="S41" s="180" t="s">
        <v>426</v>
      </c>
      <c r="T41" s="180">
        <v>100</v>
      </c>
      <c r="U41" s="184">
        <v>1</v>
      </c>
      <c r="V41" s="184">
        <v>0.5</v>
      </c>
      <c r="W41" s="179">
        <v>0.5</v>
      </c>
      <c r="X41" s="180">
        <v>100</v>
      </c>
      <c r="Y41" s="180">
        <v>100</v>
      </c>
      <c r="Z41" s="195">
        <f>763390851.832+359280.72-66223766.28</f>
        <v>697526366.27200007</v>
      </c>
      <c r="AA41" s="195">
        <v>3500000</v>
      </c>
      <c r="AB41" s="195">
        <f t="shared" si="14"/>
        <v>701026366.27200007</v>
      </c>
      <c r="AC41" s="195"/>
      <c r="AD41" s="195">
        <f>+Hoja1!C54+6783242.87+6410879.1+4259521.54+18300253.65</f>
        <v>55415496.991499998</v>
      </c>
      <c r="AE41" s="195"/>
      <c r="AF41" s="195">
        <f t="shared" si="15"/>
        <v>55415496.991499998</v>
      </c>
      <c r="AG41" s="157" t="s">
        <v>348</v>
      </c>
      <c r="AH41" s="269" t="s">
        <v>444</v>
      </c>
      <c r="AI41" s="318">
        <v>0.5</v>
      </c>
      <c r="AJ41" s="321">
        <f>+AJ37*AI41</f>
        <v>6410879.0999999996</v>
      </c>
    </row>
    <row r="42" spans="1:49" s="41" customFormat="1" ht="113.45" customHeight="1" thickTop="1" thickBot="1" x14ac:dyDescent="0.3">
      <c r="A42" s="180" t="s">
        <v>167</v>
      </c>
      <c r="B42" s="180" t="s">
        <v>168</v>
      </c>
      <c r="C42" s="180" t="s">
        <v>169</v>
      </c>
      <c r="D42" s="180" t="s">
        <v>170</v>
      </c>
      <c r="E42" s="180" t="s">
        <v>171</v>
      </c>
      <c r="F42" s="180" t="s">
        <v>172</v>
      </c>
      <c r="G42" s="180" t="s">
        <v>173</v>
      </c>
      <c r="H42" s="180" t="s">
        <v>174</v>
      </c>
      <c r="I42" s="180" t="s">
        <v>175</v>
      </c>
      <c r="J42" s="180" t="s">
        <v>429</v>
      </c>
      <c r="K42" s="180" t="s">
        <v>328</v>
      </c>
      <c r="L42" s="180" t="s">
        <v>430</v>
      </c>
      <c r="M42" s="180" t="s">
        <v>445</v>
      </c>
      <c r="N42" s="180" t="s">
        <v>446</v>
      </c>
      <c r="O42" s="180">
        <v>1</v>
      </c>
      <c r="P42" s="180" t="s">
        <v>372</v>
      </c>
      <c r="Q42" s="180" t="s">
        <v>377</v>
      </c>
      <c r="R42" s="180" t="s">
        <v>377</v>
      </c>
      <c r="S42" s="180" t="s">
        <v>447</v>
      </c>
      <c r="T42" s="180" t="s">
        <v>377</v>
      </c>
      <c r="U42" s="184">
        <f>SUM(V42:W42)</f>
        <v>1</v>
      </c>
      <c r="V42" s="184">
        <v>0.5</v>
      </c>
      <c r="W42" s="184">
        <v>0.5</v>
      </c>
      <c r="X42" s="180" t="s">
        <v>377</v>
      </c>
      <c r="Y42" s="180" t="s">
        <v>377</v>
      </c>
      <c r="Z42" s="195">
        <v>177150000</v>
      </c>
      <c r="AA42" s="195"/>
      <c r="AB42" s="195">
        <f t="shared" si="14"/>
        <v>177150000</v>
      </c>
      <c r="AC42" s="195"/>
      <c r="AD42" s="195">
        <f>+Hoja1!C55+5868574.1+2564351.64</f>
        <v>13795180.239500001</v>
      </c>
      <c r="AE42" s="195"/>
      <c r="AF42" s="195">
        <f t="shared" si="15"/>
        <v>13795180.239500001</v>
      </c>
      <c r="AG42" s="157" t="s">
        <v>348</v>
      </c>
      <c r="AH42" s="269" t="s">
        <v>448</v>
      </c>
      <c r="AI42" s="318">
        <v>0.2</v>
      </c>
      <c r="AJ42" s="321">
        <f>+AJ37*AI42</f>
        <v>2564351.64</v>
      </c>
    </row>
    <row r="43" spans="1:49" s="41" customFormat="1" ht="27" customHeight="1" thickTop="1" thickBot="1" x14ac:dyDescent="0.3">
      <c r="A43" s="206"/>
      <c r="B43" s="206"/>
      <c r="C43" s="206"/>
      <c r="D43" s="206"/>
      <c r="E43" s="206"/>
      <c r="F43" s="206"/>
      <c r="G43" s="206"/>
      <c r="H43" s="206"/>
      <c r="I43" s="206"/>
      <c r="J43" s="206"/>
      <c r="K43" s="206"/>
      <c r="L43" s="206"/>
      <c r="M43" s="206"/>
      <c r="N43" s="206"/>
      <c r="O43" s="206"/>
      <c r="P43" s="206"/>
      <c r="Q43" s="206"/>
      <c r="R43" s="206"/>
      <c r="S43" s="206"/>
      <c r="T43" s="206"/>
      <c r="U43" s="410" t="s">
        <v>449</v>
      </c>
      <c r="V43" s="411"/>
      <c r="W43" s="411"/>
      <c r="X43" s="411"/>
      <c r="Y43" s="412"/>
      <c r="Z43" s="315">
        <f>+Z15+Z17+Z22+Z28+Z37</f>
        <v>11583853131.857998</v>
      </c>
      <c r="AA43" s="315">
        <f t="shared" ref="AA43:AF43" si="16">+AA15+AA17+AA22+AA28+AA37</f>
        <v>-60499999.990000002</v>
      </c>
      <c r="AB43" s="315">
        <f t="shared" si="16"/>
        <v>11523353131.867998</v>
      </c>
      <c r="AC43" s="315"/>
      <c r="AD43" s="315">
        <f t="shared" si="16"/>
        <v>2618042219.8899994</v>
      </c>
      <c r="AE43" s="315">
        <f t="shared" si="16"/>
        <v>0</v>
      </c>
      <c r="AF43" s="315">
        <f t="shared" si="16"/>
        <v>2618042219.8899994</v>
      </c>
      <c r="AG43" s="207"/>
      <c r="AH43" s="208"/>
      <c r="AI43" s="56"/>
    </row>
    <row r="44" spans="1:49" ht="15.75" thickTop="1" x14ac:dyDescent="0.25">
      <c r="A44" s="22"/>
      <c r="B44" s="22"/>
      <c r="C44" s="22"/>
      <c r="D44" s="22"/>
      <c r="E44" s="22"/>
      <c r="F44" s="22"/>
      <c r="G44" s="22"/>
      <c r="H44" s="22"/>
      <c r="I44" s="22"/>
      <c r="K44" s="22"/>
      <c r="L44" s="22"/>
      <c r="M44" s="22"/>
      <c r="N44" s="22"/>
      <c r="P44" s="22"/>
      <c r="Q44" s="22"/>
      <c r="R44" s="22"/>
      <c r="S44" s="22"/>
      <c r="T44" s="22"/>
      <c r="U44" s="22"/>
      <c r="V44" s="22"/>
      <c r="W44" s="22"/>
      <c r="Y44" s="22"/>
      <c r="Z44" s="22"/>
      <c r="AG44" s="22"/>
      <c r="AH44" s="22"/>
      <c r="AK44" s="22"/>
      <c r="AL44" s="22"/>
      <c r="AM44" s="22"/>
      <c r="AN44" s="22"/>
      <c r="AO44" s="22"/>
      <c r="AP44" s="22"/>
      <c r="AQ44" s="22"/>
      <c r="AR44" s="22"/>
      <c r="AS44" s="22"/>
      <c r="AT44" s="22"/>
      <c r="AU44" s="22"/>
      <c r="AV44" s="22"/>
      <c r="AW44" s="22"/>
    </row>
  </sheetData>
  <mergeCells count="55">
    <mergeCell ref="A2:AH2"/>
    <mergeCell ref="A1:AH1"/>
    <mergeCell ref="D9:D14"/>
    <mergeCell ref="L9:L14"/>
    <mergeCell ref="H3:AH3"/>
    <mergeCell ref="H4:AH4"/>
    <mergeCell ref="H5:AH5"/>
    <mergeCell ref="H6:AH6"/>
    <mergeCell ref="H9:H14"/>
    <mergeCell ref="T9:T14"/>
    <mergeCell ref="M9:M14"/>
    <mergeCell ref="A3:F3"/>
    <mergeCell ref="I9:I14"/>
    <mergeCell ref="C9:C14"/>
    <mergeCell ref="L8:AH8"/>
    <mergeCell ref="A8:K8"/>
    <mergeCell ref="N9:O9"/>
    <mergeCell ref="P9:R9"/>
    <mergeCell ref="A4:F4"/>
    <mergeCell ref="A5:F5"/>
    <mergeCell ref="A6:F6"/>
    <mergeCell ref="A9:A14"/>
    <mergeCell ref="F9:F14"/>
    <mergeCell ref="E9:E14"/>
    <mergeCell ref="B9:B14"/>
    <mergeCell ref="J9:J14"/>
    <mergeCell ref="AH9:AH14"/>
    <mergeCell ref="Z11:Z14"/>
    <mergeCell ref="X12:Y12"/>
    <mergeCell ref="V12:V14"/>
    <mergeCell ref="W12:W14"/>
    <mergeCell ref="AA11:AA14"/>
    <mergeCell ref="AB11:AB14"/>
    <mergeCell ref="AC11:AC14"/>
    <mergeCell ref="AD9:AE10"/>
    <mergeCell ref="AD11:AD14"/>
    <mergeCell ref="AE11:AE14"/>
    <mergeCell ref="AF9:AF14"/>
    <mergeCell ref="Z9:AC10"/>
    <mergeCell ref="U43:Y43"/>
    <mergeCell ref="S9:S14"/>
    <mergeCell ref="AG11:AG14"/>
    <mergeCell ref="U9:Y11"/>
    <mergeCell ref="U12:U14"/>
    <mergeCell ref="A15:Y15"/>
    <mergeCell ref="A17:Y17"/>
    <mergeCell ref="A22:Y22"/>
    <mergeCell ref="A28:Y28"/>
    <mergeCell ref="A37:Y37"/>
    <mergeCell ref="G9:G14"/>
    <mergeCell ref="P10:P14"/>
    <mergeCell ref="Q10:R10"/>
    <mergeCell ref="Q11:Q14"/>
    <mergeCell ref="R11:R14"/>
    <mergeCell ref="K9:K14"/>
  </mergeCells>
  <phoneticPr fontId="20" type="noConversion"/>
  <dataValidations count="9">
    <dataValidation type="list" allowBlank="1" showInputMessage="1" showErrorMessage="1" sqref="K24:K25 K16:L16 K18:L21 M30:M31 K29:L31 K23:L23 L33:L34 L25:L27 K36:L36" xr:uid="{67E548E8-6BE9-48DF-A2FA-8E9F2E0222B3}">
      <formula1>#REF!</formula1>
    </dataValidation>
    <dataValidation type="list" allowBlank="1" showInputMessage="1" showErrorMessage="1" sqref="K38:K40 K34" xr:uid="{4EE2A69C-6114-400A-8649-61656BCF8016}">
      <formula1>$O$66:$O$93</formula1>
    </dataValidation>
    <dataValidation type="list" allowBlank="1" showInputMessage="1" showErrorMessage="1" sqref="K32" xr:uid="{100ECE6A-5D75-4AEE-AD8E-CD253981915C}">
      <formula1>$N$70:$N$97</formula1>
    </dataValidation>
    <dataValidation type="list" allowBlank="1" showInputMessage="1" showErrorMessage="1" sqref="L32" xr:uid="{1DA032FD-23F6-4A52-8E22-990AE315D236}">
      <formula1>$K$57:$K$61</formula1>
    </dataValidation>
    <dataValidation type="list" allowBlank="1" showInputMessage="1" showErrorMessage="1" sqref="L24" xr:uid="{1E060689-2D36-4E30-9043-F4212E569DFF}">
      <formula1>$K$56:$K$60</formula1>
    </dataValidation>
    <dataValidation type="list" allowBlank="1" showInputMessage="1" showErrorMessage="1" sqref="P41:P43" xr:uid="{0DC21C9F-B5EA-4231-AFF1-7A4BD307E858}">
      <formula1>"Interno,Externo,Ambos"</formula1>
    </dataValidation>
    <dataValidation type="list" allowBlank="1" showInputMessage="1" showErrorMessage="1" sqref="Q18" xr:uid="{A7DFC458-76C4-44EE-B22B-2C0BB1CD678E}">
      <formula1>$K$39:$K$43</formula1>
    </dataValidation>
    <dataValidation type="list" allowBlank="1" showInputMessage="1" showErrorMessage="1" sqref="L35" xr:uid="{787F282B-D6A3-42DB-9D46-2131E3BD301A}">
      <formula1>$K$47:$K$51</formula1>
    </dataValidation>
    <dataValidation type="list" allowBlank="1" showInputMessage="1" showErrorMessage="1" sqref="K35" xr:uid="{3AF4C726-6F2C-4E28-9E1D-1230713E6DC2}">
      <formula1>$N$60:$N$87</formula1>
    </dataValidation>
  </dataValidations>
  <printOptions horizontalCentered="1" verticalCentered="1"/>
  <pageMargins left="0.31496062992125984" right="0.31496062992125984" top="0.55118110236220474" bottom="0.55118110236220474" header="0.31496062992125984" footer="0.31496062992125984"/>
  <pageSetup paperSize="5" scale="31" fitToHeight="0" orientation="landscape" r:id="rId1"/>
  <rowBreaks count="4" manualBreakCount="4">
    <brk id="20" max="43" man="1"/>
    <brk id="26" max="43" man="1"/>
    <brk id="32" max="43" man="1"/>
    <brk id="36" max="53"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1CE83CA8-9075-49BA-8C25-3227A8C98DF0}">
          <x14:formula1>
            <xm:f>'C:\Users\rrodriguez\Desktop\mapp 2019 Programa i\[MAPP 2019  ASESORIA JURIDICA.xlsx]OBJETIVOS ESTRATEGICOS'!#REF!</xm:f>
          </x14:formula1>
          <xm:sqref>K41:K43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08EF-A201-477E-A767-8710220F0076}">
  <dimension ref="A6:M207"/>
  <sheetViews>
    <sheetView topLeftCell="A44" zoomScale="85" zoomScaleNormal="85" workbookViewId="0">
      <selection activeCell="E63" sqref="E63"/>
    </sheetView>
  </sheetViews>
  <sheetFormatPr baseColWidth="10" defaultColWidth="11.5703125" defaultRowHeight="15" x14ac:dyDescent="0.25"/>
  <cols>
    <col min="1" max="1" width="16.42578125" style="22" customWidth="1"/>
    <col min="2" max="2" width="41.5703125" style="22" customWidth="1"/>
    <col min="3" max="3" width="17.5703125" style="22" customWidth="1"/>
    <col min="4" max="4" width="19.42578125" style="22" customWidth="1"/>
    <col min="5" max="5" width="15.85546875" style="22" customWidth="1"/>
    <col min="6" max="6" width="17.85546875" style="64" bestFit="1" customWidth="1"/>
    <col min="7" max="7" width="12.140625" style="64" customWidth="1"/>
    <col min="8" max="10" width="15.42578125" style="22" customWidth="1"/>
    <col min="11" max="12" width="0" style="22" hidden="1" customWidth="1"/>
    <col min="13" max="16384" width="11.5703125" style="22"/>
  </cols>
  <sheetData>
    <row r="6" spans="1:7" x14ac:dyDescent="0.25">
      <c r="F6" s="65">
        <v>1000000</v>
      </c>
      <c r="G6" s="65"/>
    </row>
    <row r="7" spans="1:7" ht="15" hidden="1" customHeight="1" x14ac:dyDescent="0.25">
      <c r="A7" s="463" t="s">
        <v>450</v>
      </c>
      <c r="B7" s="464"/>
      <c r="C7" s="66">
        <v>6781.69</v>
      </c>
      <c r="D7" s="67">
        <v>37.61</v>
      </c>
    </row>
    <row r="8" spans="1:7" ht="15" hidden="1" customHeight="1" x14ac:dyDescent="0.25">
      <c r="A8" s="68">
        <v>1.01</v>
      </c>
      <c r="B8" s="69" t="s">
        <v>451</v>
      </c>
      <c r="C8" s="70">
        <v>101.57</v>
      </c>
      <c r="D8" s="69">
        <v>1.5</v>
      </c>
    </row>
    <row r="9" spans="1:7" ht="15" hidden="1" customHeight="1" x14ac:dyDescent="0.25">
      <c r="A9" s="68">
        <v>1.02</v>
      </c>
      <c r="B9" s="71" t="s">
        <v>452</v>
      </c>
      <c r="C9" s="70">
        <v>122.29</v>
      </c>
      <c r="D9" s="69">
        <v>1.8</v>
      </c>
    </row>
    <row r="10" spans="1:7" ht="15" hidden="1" customHeight="1" x14ac:dyDescent="0.25">
      <c r="A10" s="68">
        <v>1.03</v>
      </c>
      <c r="B10" s="71" t="s">
        <v>453</v>
      </c>
      <c r="C10" s="70">
        <v>35.54</v>
      </c>
      <c r="D10" s="69">
        <v>0.52</v>
      </c>
    </row>
    <row r="11" spans="1:7" ht="15" hidden="1" customHeight="1" x14ac:dyDescent="0.25">
      <c r="A11" s="68">
        <v>1.04</v>
      </c>
      <c r="B11" s="71" t="s">
        <v>454</v>
      </c>
      <c r="C11" s="70">
        <v>217.88</v>
      </c>
      <c r="D11" s="69">
        <v>3.21</v>
      </c>
    </row>
    <row r="12" spans="1:7" ht="15" hidden="1" customHeight="1" x14ac:dyDescent="0.25">
      <c r="A12" s="68">
        <v>1.05</v>
      </c>
      <c r="B12" s="71" t="s">
        <v>455</v>
      </c>
      <c r="C12" s="70">
        <v>255.06</v>
      </c>
      <c r="D12" s="69">
        <v>3.76</v>
      </c>
    </row>
    <row r="13" spans="1:7" ht="15" hidden="1" customHeight="1" x14ac:dyDescent="0.25">
      <c r="A13" s="68">
        <v>1.06</v>
      </c>
      <c r="B13" s="71" t="s">
        <v>456</v>
      </c>
      <c r="C13" s="70">
        <v>187.38</v>
      </c>
      <c r="D13" s="69">
        <v>2.76</v>
      </c>
    </row>
    <row r="14" spans="1:7" ht="15" hidden="1" customHeight="1" x14ac:dyDescent="0.25">
      <c r="A14" s="68">
        <v>1.07</v>
      </c>
      <c r="B14" s="71" t="s">
        <v>457</v>
      </c>
      <c r="C14" s="70">
        <v>108.26</v>
      </c>
      <c r="D14" s="69">
        <v>1.6</v>
      </c>
    </row>
    <row r="15" spans="1:7" ht="15" hidden="1" customHeight="1" x14ac:dyDescent="0.25">
      <c r="A15" s="68">
        <v>1.08</v>
      </c>
      <c r="B15" s="71" t="s">
        <v>458</v>
      </c>
      <c r="C15" s="70">
        <v>4275.46</v>
      </c>
      <c r="D15" s="69">
        <v>63.04</v>
      </c>
    </row>
    <row r="16" spans="1:7" ht="15" hidden="1" customHeight="1" x14ac:dyDescent="0.25">
      <c r="A16" s="68">
        <v>1.0900000000000001</v>
      </c>
      <c r="B16" s="71" t="s">
        <v>459</v>
      </c>
      <c r="C16" s="70">
        <v>1460.74</v>
      </c>
      <c r="D16" s="69">
        <v>21.54</v>
      </c>
    </row>
    <row r="17" spans="1:13" ht="15" hidden="1" customHeight="1" x14ac:dyDescent="0.25">
      <c r="A17" s="68">
        <v>1.1000000000000001</v>
      </c>
      <c r="B17" s="71" t="s">
        <v>460</v>
      </c>
      <c r="C17" s="70">
        <v>17.5</v>
      </c>
      <c r="D17" s="69">
        <v>0.26</v>
      </c>
    </row>
    <row r="18" spans="1:13" x14ac:dyDescent="0.25">
      <c r="A18" s="465" t="s">
        <v>461</v>
      </c>
      <c r="B18" s="465"/>
      <c r="C18" s="465"/>
      <c r="D18" s="465"/>
      <c r="E18" s="465"/>
    </row>
    <row r="19" spans="1:13" x14ac:dyDescent="0.25">
      <c r="A19" s="465" t="s">
        <v>462</v>
      </c>
      <c r="B19" s="465"/>
      <c r="C19" s="465"/>
      <c r="D19" s="465"/>
      <c r="E19" s="465"/>
    </row>
    <row r="20" spans="1:13" x14ac:dyDescent="0.25">
      <c r="A20" s="465" t="s">
        <v>463</v>
      </c>
      <c r="B20" s="465"/>
      <c r="C20" s="465"/>
      <c r="D20" s="465"/>
      <c r="E20" s="465"/>
    </row>
    <row r="21" spans="1:13" ht="15.75" thickBot="1" x14ac:dyDescent="0.3">
      <c r="A21" s="466" t="s">
        <v>464</v>
      </c>
      <c r="B21" s="466"/>
      <c r="C21" s="466"/>
      <c r="D21" s="466"/>
      <c r="E21" s="466"/>
    </row>
    <row r="22" spans="1:13" ht="60.75" thickBot="1" x14ac:dyDescent="0.3">
      <c r="A22" s="72" t="s">
        <v>465</v>
      </c>
      <c r="B22" s="283" t="s">
        <v>466</v>
      </c>
      <c r="C22" s="283" t="s">
        <v>467</v>
      </c>
      <c r="D22" s="73" t="s">
        <v>468</v>
      </c>
      <c r="E22" s="283" t="s">
        <v>469</v>
      </c>
      <c r="F22" s="283" t="s">
        <v>470</v>
      </c>
      <c r="G22" s="303" t="s">
        <v>581</v>
      </c>
      <c r="H22" s="283" t="s">
        <v>471</v>
      </c>
      <c r="I22" s="73" t="s">
        <v>472</v>
      </c>
      <c r="J22" s="283" t="s">
        <v>469</v>
      </c>
    </row>
    <row r="23" spans="1:13" x14ac:dyDescent="0.25">
      <c r="A23" s="305" t="s">
        <v>473</v>
      </c>
      <c r="B23" s="306"/>
      <c r="C23" s="306"/>
      <c r="D23" s="306"/>
      <c r="E23" s="306"/>
      <c r="F23" s="305"/>
      <c r="G23" s="306"/>
      <c r="H23" s="306"/>
      <c r="I23" s="306"/>
      <c r="J23" s="306"/>
      <c r="K23" s="306"/>
    </row>
    <row r="24" spans="1:13" x14ac:dyDescent="0.25">
      <c r="A24" s="311" t="s">
        <v>474</v>
      </c>
      <c r="B24" s="312" t="s">
        <v>166</v>
      </c>
      <c r="C24" s="313">
        <v>1</v>
      </c>
      <c r="D24" s="314">
        <f>+'MAPP IFAM 2020 PROG. I'!AC19</f>
        <v>62811254.450000003</v>
      </c>
      <c r="E24" s="231">
        <f>+D24/$D$35</f>
        <v>9.6640333464839256E-3</v>
      </c>
      <c r="F24" s="307">
        <f>+'MAPP IFAM 2020 PROG. I'!AI18</f>
        <v>11007151.119999999</v>
      </c>
      <c r="G24" s="309">
        <f>+F24/D24</f>
        <v>0.17524170176798623</v>
      </c>
      <c r="H24" s="232"/>
      <c r="I24" s="233"/>
      <c r="J24" s="234"/>
      <c r="K24" s="222"/>
      <c r="L24" s="226">
        <f>+E24*F6</f>
        <v>9664.0333464839259</v>
      </c>
      <c r="M24" s="222"/>
    </row>
    <row r="25" spans="1:13" x14ac:dyDescent="0.25">
      <c r="A25" s="311">
        <v>1.02</v>
      </c>
      <c r="B25" s="312" t="s">
        <v>452</v>
      </c>
      <c r="C25" s="313">
        <v>1</v>
      </c>
      <c r="D25" s="314">
        <f>+'MAPP IFAM 2020 PROG. I'!AC21</f>
        <v>154152806.73000002</v>
      </c>
      <c r="E25" s="231">
        <f t="shared" ref="E25:E33" si="0">+D25/$D$35</f>
        <v>2.3717690049936773E-2</v>
      </c>
      <c r="F25" s="307">
        <f>+'MAPP IFAM 2020 PROG. I'!AI20</f>
        <v>21054406.219999999</v>
      </c>
      <c r="G25" s="309">
        <f t="shared" ref="G25:G33" si="1">+F25/D25</f>
        <v>0.13658140040795347</v>
      </c>
      <c r="H25" s="232"/>
      <c r="I25" s="233"/>
      <c r="J25" s="234"/>
      <c r="K25" s="222"/>
      <c r="L25" s="222"/>
      <c r="M25" s="222"/>
    </row>
    <row r="26" spans="1:13" x14ac:dyDescent="0.25">
      <c r="A26" s="311" t="s">
        <v>475</v>
      </c>
      <c r="B26" s="312" t="s">
        <v>453</v>
      </c>
      <c r="C26" s="313">
        <v>1</v>
      </c>
      <c r="D26" s="314">
        <f>+'MAPP IFAM 2020 PROG. I'!AC22</f>
        <v>21985347.300000001</v>
      </c>
      <c r="E26" s="231">
        <f t="shared" si="0"/>
        <v>3.3826283410779792E-3</v>
      </c>
      <c r="F26" s="307">
        <f>+'MAPP IFAM 2020 PROG. I'!AI22</f>
        <v>0</v>
      </c>
      <c r="G26" s="309">
        <f t="shared" si="1"/>
        <v>0</v>
      </c>
      <c r="H26" s="232"/>
      <c r="I26" s="233"/>
      <c r="J26" s="234"/>
      <c r="K26" s="222"/>
      <c r="L26" s="222"/>
      <c r="M26" s="222"/>
    </row>
    <row r="27" spans="1:13" x14ac:dyDescent="0.25">
      <c r="A27" s="311" t="s">
        <v>476</v>
      </c>
      <c r="B27" s="312" t="s">
        <v>454</v>
      </c>
      <c r="C27" s="313">
        <v>3</v>
      </c>
      <c r="D27" s="314">
        <f>+'MAPP IFAM 2020 PROG. I'!AC24</f>
        <v>381666002.84000003</v>
      </c>
      <c r="E27" s="231">
        <f t="shared" si="0"/>
        <v>5.8722485499809803E-2</v>
      </c>
      <c r="F27" s="307">
        <f>+'MAPP IFAM 2020 PROG. I'!AI24</f>
        <v>38873668.609999999</v>
      </c>
      <c r="G27" s="309">
        <f t="shared" si="1"/>
        <v>0.10185258398898162</v>
      </c>
      <c r="H27" s="232"/>
      <c r="I27" s="233"/>
      <c r="J27" s="234"/>
      <c r="K27" s="222"/>
      <c r="L27" s="222"/>
      <c r="M27" s="222"/>
    </row>
    <row r="28" spans="1:13" x14ac:dyDescent="0.25">
      <c r="A28" s="311">
        <v>1.05</v>
      </c>
      <c r="B28" s="312" t="s">
        <v>455</v>
      </c>
      <c r="C28" s="313">
        <v>2</v>
      </c>
      <c r="D28" s="314">
        <f>+'MAPP IFAM 2020 PROG. I'!AC28</f>
        <v>183694068.65000001</v>
      </c>
      <c r="E28" s="231">
        <f t="shared" si="0"/>
        <v>2.8262858631458325E-2</v>
      </c>
      <c r="F28" s="307">
        <f>+'MAPP IFAM 2020 PROG. I'!AI28</f>
        <v>42183930.980000004</v>
      </c>
      <c r="G28" s="309">
        <f t="shared" si="1"/>
        <v>0.22964231392998766</v>
      </c>
      <c r="H28" s="232"/>
      <c r="I28" s="233"/>
      <c r="J28" s="234"/>
      <c r="K28" s="222">
        <v>1000000</v>
      </c>
      <c r="L28" s="222"/>
      <c r="M28" s="222"/>
    </row>
    <row r="29" spans="1:13" x14ac:dyDescent="0.25">
      <c r="A29" s="311" t="s">
        <v>477</v>
      </c>
      <c r="B29" s="312" t="s">
        <v>456</v>
      </c>
      <c r="C29" s="313">
        <v>1</v>
      </c>
      <c r="D29" s="314">
        <f>+'MAPP IFAM 2020 PROG. I'!AC31</f>
        <v>101802995.98999999</v>
      </c>
      <c r="E29" s="231">
        <f t="shared" si="0"/>
        <v>1.5663236734150744E-2</v>
      </c>
      <c r="F29" s="307">
        <f>+'MAPP IFAM 2020 PROG. I'!AI31</f>
        <v>22124938.350000001</v>
      </c>
      <c r="G29" s="309">
        <f t="shared" si="1"/>
        <v>0.21733091580304092</v>
      </c>
      <c r="H29" s="232"/>
      <c r="I29" s="234"/>
      <c r="J29" s="234"/>
    </row>
    <row r="30" spans="1:13" x14ac:dyDescent="0.25">
      <c r="A30" s="311" t="s">
        <v>478</v>
      </c>
      <c r="B30" s="312" t="s">
        <v>457</v>
      </c>
      <c r="C30" s="313">
        <v>2</v>
      </c>
      <c r="D30" s="314">
        <f>+'MAPP IFAM 2020 PROG. I'!AC33</f>
        <v>137179480.73000002</v>
      </c>
      <c r="E30" s="231">
        <f t="shared" si="0"/>
        <v>2.1106202826809955E-2</v>
      </c>
      <c r="F30" s="307">
        <f>+'MAPP IFAM 2020 PROG. I'!AI33</f>
        <v>26222316.940000001</v>
      </c>
      <c r="G30" s="309">
        <f t="shared" si="1"/>
        <v>0.19115334742818718</v>
      </c>
      <c r="H30" s="232"/>
      <c r="I30" s="234"/>
      <c r="J30" s="234"/>
    </row>
    <row r="31" spans="1:13" x14ac:dyDescent="0.25">
      <c r="A31" s="311" t="s">
        <v>479</v>
      </c>
      <c r="B31" s="312" t="s">
        <v>458</v>
      </c>
      <c r="C31" s="313">
        <v>2</v>
      </c>
      <c r="D31" s="314">
        <f>+'MAPP IFAM 2020 PROG. I'!AC36</f>
        <v>4081280464.4699998</v>
      </c>
      <c r="E31" s="231">
        <f t="shared" si="0"/>
        <v>0.62793890761071214</v>
      </c>
      <c r="F31" s="307">
        <f>+'MAPP IFAM 2020 PROG. I'!AI36</f>
        <v>205752684.16</v>
      </c>
      <c r="G31" s="309">
        <f t="shared" si="1"/>
        <v>5.0413757631018213E-2</v>
      </c>
      <c r="H31" s="232"/>
      <c r="I31" s="234"/>
      <c r="J31" s="234"/>
    </row>
    <row r="32" spans="1:13" ht="19.5" customHeight="1" x14ac:dyDescent="0.25">
      <c r="A32" s="311" t="s">
        <v>480</v>
      </c>
      <c r="B32" s="312" t="s">
        <v>459</v>
      </c>
      <c r="C32" s="313">
        <v>9</v>
      </c>
      <c r="D32" s="314">
        <f>+'MAPP IFAM 2020 PROG. I'!AC39-D33</f>
        <v>1364964097.3600001</v>
      </c>
      <c r="E32" s="231">
        <f t="shared" si="0"/>
        <v>0.21001106679282971</v>
      </c>
      <c r="F32" s="307">
        <f>+'MAPP IFAM 2020 PROG. I'!AI39</f>
        <v>320139385.59999996</v>
      </c>
      <c r="G32" s="309">
        <f t="shared" si="1"/>
        <v>0.23454051738004458</v>
      </c>
      <c r="H32" s="232"/>
      <c r="I32" s="234"/>
      <c r="J32" s="234"/>
      <c r="K32" s="222">
        <v>20950</v>
      </c>
    </row>
    <row r="33" spans="1:10" x14ac:dyDescent="0.25">
      <c r="A33" s="311" t="s">
        <v>481</v>
      </c>
      <c r="B33" s="312" t="s">
        <v>482</v>
      </c>
      <c r="C33" s="313">
        <v>1</v>
      </c>
      <c r="D33" s="314">
        <v>9950000</v>
      </c>
      <c r="E33" s="231">
        <f t="shared" si="0"/>
        <v>1.530890166730543E-3</v>
      </c>
      <c r="F33" s="308">
        <v>0</v>
      </c>
      <c r="G33" s="309">
        <f t="shared" si="1"/>
        <v>0</v>
      </c>
      <c r="H33" s="234"/>
      <c r="I33" s="233"/>
      <c r="J33" s="234"/>
    </row>
    <row r="34" spans="1:10" ht="12.6" hidden="1" customHeight="1" thickBot="1" x14ac:dyDescent="0.25">
      <c r="A34" s="311"/>
      <c r="B34" s="312" t="s">
        <v>483</v>
      </c>
      <c r="C34" s="313"/>
      <c r="D34" s="314"/>
      <c r="E34" s="231"/>
      <c r="F34" s="308"/>
      <c r="G34" s="308"/>
      <c r="H34" s="234"/>
      <c r="I34" s="234">
        <f>+K32-11000</f>
        <v>9950</v>
      </c>
      <c r="J34" s="234"/>
    </row>
    <row r="35" spans="1:10" x14ac:dyDescent="0.25">
      <c r="A35" s="467" t="s">
        <v>484</v>
      </c>
      <c r="B35" s="467"/>
      <c r="C35" s="302">
        <f>SUM(C24:C33)</f>
        <v>23</v>
      </c>
      <c r="D35" s="128">
        <f>SUM(D24:D33)</f>
        <v>6499486518.5200005</v>
      </c>
      <c r="E35" s="129">
        <f>SUM(E24:E33)</f>
        <v>1</v>
      </c>
      <c r="F35" s="128">
        <f>SUM(F24:F33)</f>
        <v>687358481.98000002</v>
      </c>
      <c r="G35" s="310">
        <f>SUM(G24:G33)/10</f>
        <v>0.13367565383371999</v>
      </c>
      <c r="H35" s="128"/>
      <c r="I35" s="128"/>
      <c r="J35" s="128"/>
    </row>
    <row r="36" spans="1:10" x14ac:dyDescent="0.25">
      <c r="A36" s="302"/>
      <c r="B36" s="302"/>
      <c r="C36" s="302"/>
      <c r="D36" s="128"/>
      <c r="E36" s="129"/>
      <c r="F36" s="129" t="s">
        <v>582</v>
      </c>
      <c r="G36" s="310">
        <f>+F35/D35</f>
        <v>0.10575581317407187</v>
      </c>
      <c r="H36" s="128"/>
      <c r="I36" s="128"/>
      <c r="J36" s="128"/>
    </row>
    <row r="37" spans="1:10" x14ac:dyDescent="0.25">
      <c r="A37" s="465" t="s">
        <v>461</v>
      </c>
      <c r="B37" s="465"/>
      <c r="C37" s="465"/>
      <c r="D37" s="465"/>
      <c r="E37" s="465"/>
      <c r="F37" s="22"/>
      <c r="G37" s="22"/>
    </row>
    <row r="38" spans="1:10" x14ac:dyDescent="0.25">
      <c r="A38" s="465" t="s">
        <v>462</v>
      </c>
      <c r="B38" s="465"/>
      <c r="C38" s="465"/>
      <c r="D38" s="465"/>
      <c r="E38" s="465"/>
    </row>
    <row r="39" spans="1:10" x14ac:dyDescent="0.25">
      <c r="A39" s="465" t="s">
        <v>485</v>
      </c>
      <c r="B39" s="465"/>
      <c r="C39" s="465"/>
      <c r="D39" s="465"/>
      <c r="E39" s="465"/>
    </row>
    <row r="40" spans="1:10" ht="15.75" thickBot="1" x14ac:dyDescent="0.3">
      <c r="A40" s="466" t="s">
        <v>464</v>
      </c>
      <c r="B40" s="466"/>
      <c r="C40" s="466"/>
      <c r="D40" s="466"/>
      <c r="E40" s="466"/>
    </row>
    <row r="41" spans="1:10" ht="15.75" thickBot="1" x14ac:dyDescent="0.3">
      <c r="A41" s="81"/>
      <c r="B41" s="81"/>
      <c r="C41" s="81"/>
      <c r="D41" s="82"/>
      <c r="E41" s="82"/>
    </row>
    <row r="42" spans="1:10" ht="60.75" thickBot="1" x14ac:dyDescent="0.3">
      <c r="A42" s="72" t="s">
        <v>465</v>
      </c>
      <c r="B42" s="283" t="s">
        <v>466</v>
      </c>
      <c r="C42" s="283" t="s">
        <v>467</v>
      </c>
      <c r="D42" s="73" t="s">
        <v>468</v>
      </c>
      <c r="E42" s="283" t="s">
        <v>469</v>
      </c>
      <c r="F42" s="283" t="s">
        <v>470</v>
      </c>
      <c r="G42" s="303" t="s">
        <v>518</v>
      </c>
      <c r="H42" s="283" t="s">
        <v>471</v>
      </c>
      <c r="I42" s="73" t="s">
        <v>472</v>
      </c>
      <c r="J42" s="283" t="s">
        <v>469</v>
      </c>
    </row>
    <row r="43" spans="1:10" ht="15.75" thickBot="1" x14ac:dyDescent="0.3">
      <c r="A43" s="461" t="s">
        <v>486</v>
      </c>
      <c r="B43" s="462"/>
      <c r="C43" s="130"/>
      <c r="D43" s="131"/>
      <c r="E43" s="132"/>
      <c r="F43" s="132"/>
      <c r="G43" s="132"/>
      <c r="H43" s="132"/>
      <c r="I43" s="132"/>
      <c r="J43" s="132"/>
    </row>
    <row r="44" spans="1:10" ht="26.25" thickBot="1" x14ac:dyDescent="0.3">
      <c r="A44" s="74">
        <v>2.0099999999999998</v>
      </c>
      <c r="B44" s="75" t="s">
        <v>487</v>
      </c>
      <c r="C44" s="77">
        <v>1</v>
      </c>
      <c r="D44" s="97">
        <f>+'MAPP IFAM PROG. II'!AB15</f>
        <v>152736625.64999998</v>
      </c>
      <c r="E44" s="76">
        <f>+D44/$D$50</f>
        <v>1.3254529640995263E-2</v>
      </c>
      <c r="F44" s="97">
        <f>+'MAPP IFAM PROG. II'!AD15</f>
        <v>19742607.77</v>
      </c>
      <c r="G44" s="322">
        <f>+F44/D44</f>
        <v>0.12925915893441767</v>
      </c>
      <c r="H44" s="97"/>
      <c r="I44" s="97"/>
      <c r="J44" s="97"/>
    </row>
    <row r="45" spans="1:10" ht="15.75" thickBot="1" x14ac:dyDescent="0.3">
      <c r="A45" s="74">
        <v>2.02</v>
      </c>
      <c r="B45" s="75" t="s">
        <v>488</v>
      </c>
      <c r="C45" s="77">
        <v>4</v>
      </c>
      <c r="D45" s="97">
        <f>+'MAPP IFAM PROG. II'!Z17</f>
        <v>170581897.40600002</v>
      </c>
      <c r="E45" s="76">
        <f t="shared" ref="E45:E48" si="2">+D45/$D$50</f>
        <v>1.4803147612846589E-2</v>
      </c>
      <c r="F45" s="97">
        <f>+'MAPP IFAM PROG. II'!AD17</f>
        <v>17881724.18</v>
      </c>
      <c r="G45" s="322">
        <f t="shared" ref="G45:G48" si="3">+F45/D45</f>
        <v>0.10482779504697332</v>
      </c>
      <c r="H45" s="97"/>
      <c r="I45" s="97"/>
      <c r="J45" s="97"/>
    </row>
    <row r="46" spans="1:10" ht="26.25" thickBot="1" x14ac:dyDescent="0.3">
      <c r="A46" s="78">
        <v>2.0299999999999998</v>
      </c>
      <c r="B46" s="79" t="s">
        <v>489</v>
      </c>
      <c r="C46" s="80">
        <v>5</v>
      </c>
      <c r="D46" s="97">
        <f>+'MAPP IFAM PROG. II'!AB22</f>
        <v>9078882878.9799995</v>
      </c>
      <c r="E46" s="76">
        <f t="shared" si="2"/>
        <v>0.78786814697817587</v>
      </c>
      <c r="F46" s="97">
        <f>+'MAPP IFAM PROG. II'!AD22</f>
        <v>2459503490.8399997</v>
      </c>
      <c r="G46" s="322">
        <f t="shared" si="3"/>
        <v>0.27090375805314076</v>
      </c>
      <c r="H46" s="97"/>
      <c r="I46" s="97"/>
      <c r="J46" s="97"/>
    </row>
    <row r="47" spans="1:10" ht="15.75" thickBot="1" x14ac:dyDescent="0.3">
      <c r="A47" s="74">
        <v>2.04</v>
      </c>
      <c r="B47" s="75" t="s">
        <v>490</v>
      </c>
      <c r="C47" s="77">
        <v>8</v>
      </c>
      <c r="D47" s="97">
        <f>+'MAPP IFAM PROG. II'!AB28</f>
        <v>892975363.55999994</v>
      </c>
      <c r="E47" s="76">
        <f t="shared" si="2"/>
        <v>7.749266670397037E-2</v>
      </c>
      <c r="F47" s="97">
        <f>+'MAPP IFAM PROG. II'!AD28</f>
        <v>37132683.409999996</v>
      </c>
      <c r="G47" s="322">
        <f t="shared" si="3"/>
        <v>4.1583099517957765E-2</v>
      </c>
      <c r="H47" s="97"/>
      <c r="I47" s="97"/>
      <c r="J47" s="97"/>
    </row>
    <row r="48" spans="1:10" ht="15.75" thickBot="1" x14ac:dyDescent="0.3">
      <c r="A48" s="74">
        <v>2.0499999999999998</v>
      </c>
      <c r="B48" s="75" t="s">
        <v>491</v>
      </c>
      <c r="C48" s="77">
        <v>5</v>
      </c>
      <c r="D48" s="97">
        <f>+'MAPP IFAM PROG. II'!AB37</f>
        <v>1228176366.2720001</v>
      </c>
      <c r="E48" s="76">
        <f t="shared" si="2"/>
        <v>0.10658150906401199</v>
      </c>
      <c r="F48" s="97">
        <f>+'MAPP IFAM PROG. II'!AD37</f>
        <v>83781713.689999998</v>
      </c>
      <c r="G48" s="322">
        <f t="shared" si="3"/>
        <v>6.8216353929941312E-2</v>
      </c>
      <c r="H48" s="97"/>
      <c r="I48" s="97"/>
      <c r="J48" s="97"/>
    </row>
    <row r="49" spans="1:10" ht="15.75" thickBot="1" x14ac:dyDescent="0.3">
      <c r="A49" s="74"/>
      <c r="B49" s="75"/>
      <c r="C49" s="77"/>
      <c r="D49" s="95"/>
      <c r="E49" s="96"/>
      <c r="H49" s="64"/>
      <c r="I49" s="64"/>
      <c r="J49" s="64"/>
    </row>
    <row r="50" spans="1:10" ht="15.75" thickBot="1" x14ac:dyDescent="0.3">
      <c r="A50" s="284" t="s">
        <v>492</v>
      </c>
      <c r="B50" s="133"/>
      <c r="C50" s="130">
        <f>SUM(C44:C49)</f>
        <v>23</v>
      </c>
      <c r="D50" s="131">
        <f>SUM(D44:D49)</f>
        <v>11523353131.867998</v>
      </c>
      <c r="E50" s="255">
        <f>SUM(E44:E49)</f>
        <v>1.0000000000000002</v>
      </c>
      <c r="F50" s="254">
        <f>SUM(F44:F49)</f>
        <v>2618042219.8899994</v>
      </c>
      <c r="G50" s="132">
        <f>+F50/D50</f>
        <v>0.22719447976038903</v>
      </c>
      <c r="H50" s="132"/>
      <c r="I50" s="132"/>
      <c r="J50" s="132"/>
    </row>
    <row r="51" spans="1:10" x14ac:dyDescent="0.25">
      <c r="A51" s="83"/>
      <c r="B51" s="84"/>
      <c r="C51" s="84"/>
      <c r="D51" s="85"/>
      <c r="E51" s="86"/>
    </row>
    <row r="52" spans="1:10" x14ac:dyDescent="0.25">
      <c r="A52" s="468" t="s">
        <v>493</v>
      </c>
      <c r="B52" s="468"/>
      <c r="C52" s="282">
        <f>+C35+C50</f>
        <v>46</v>
      </c>
      <c r="D52" s="87">
        <f>+D50+D35</f>
        <v>18022839650.388</v>
      </c>
      <c r="E52" s="282"/>
    </row>
    <row r="54" spans="1:10" ht="15.75" thickBot="1" x14ac:dyDescent="0.3"/>
    <row r="55" spans="1:10" ht="30.75" thickBot="1" x14ac:dyDescent="0.3">
      <c r="A55" s="469" t="s">
        <v>466</v>
      </c>
      <c r="B55" s="470"/>
      <c r="C55" s="283" t="s">
        <v>467</v>
      </c>
      <c r="D55" s="73" t="s">
        <v>494</v>
      </c>
      <c r="E55" s="323" t="s">
        <v>469</v>
      </c>
      <c r="F55" s="326" t="s">
        <v>470</v>
      </c>
    </row>
    <row r="56" spans="1:10" x14ac:dyDescent="0.25">
      <c r="A56" s="471" t="s">
        <v>495</v>
      </c>
      <c r="B56" s="472"/>
      <c r="C56" s="134">
        <f>+C35</f>
        <v>23</v>
      </c>
      <c r="D56" s="135">
        <f>SUM(D24:D33)</f>
        <v>6499486518.5200005</v>
      </c>
      <c r="E56" s="324">
        <f>+D56/D58</f>
        <v>0.36062499831318634</v>
      </c>
      <c r="F56" s="327">
        <f>+F35</f>
        <v>687358481.98000002</v>
      </c>
    </row>
    <row r="57" spans="1:10" x14ac:dyDescent="0.25">
      <c r="A57" s="473" t="s">
        <v>496</v>
      </c>
      <c r="B57" s="474"/>
      <c r="C57" s="136">
        <f>+C50</f>
        <v>23</v>
      </c>
      <c r="D57" s="137">
        <f>SUM(D50)</f>
        <v>11523353131.867998</v>
      </c>
      <c r="E57" s="325">
        <f>+D57/D58</f>
        <v>0.6393750016868136</v>
      </c>
      <c r="F57" s="328">
        <f>+F50</f>
        <v>2618042219.8899994</v>
      </c>
    </row>
    <row r="58" spans="1:10" ht="15.75" thickBot="1" x14ac:dyDescent="0.3">
      <c r="A58" s="458" t="s">
        <v>497</v>
      </c>
      <c r="B58" s="459"/>
      <c r="C58" s="330">
        <f>SUM(C56:C57)</f>
        <v>46</v>
      </c>
      <c r="D58" s="331">
        <f>SUM(D56:D57)</f>
        <v>18022839650.388</v>
      </c>
      <c r="E58" s="332">
        <f>SUM(E56:E57)</f>
        <v>1</v>
      </c>
      <c r="F58" s="329">
        <f>+F56+F57</f>
        <v>3305400701.8699994</v>
      </c>
    </row>
    <row r="59" spans="1:10" x14ac:dyDescent="0.25">
      <c r="D59" s="460" t="s">
        <v>583</v>
      </c>
      <c r="E59" s="460"/>
      <c r="F59" s="333">
        <f>+F58/D58</f>
        <v>0.18340066082754278</v>
      </c>
    </row>
    <row r="60" spans="1:10" x14ac:dyDescent="0.25">
      <c r="D60" s="88">
        <f>+[5]Hoja1!$E$5</f>
        <v>7014599220</v>
      </c>
    </row>
    <row r="61" spans="1:10" x14ac:dyDescent="0.25">
      <c r="D61" s="334">
        <f>+D58+D60</f>
        <v>25037438870.388</v>
      </c>
    </row>
    <row r="62" spans="1:10" x14ac:dyDescent="0.25">
      <c r="D62" s="334"/>
    </row>
    <row r="63" spans="1:10" ht="15.75" thickBot="1" x14ac:dyDescent="0.3">
      <c r="D63" s="22" t="s">
        <v>584</v>
      </c>
      <c r="E63" s="335" t="s">
        <v>585</v>
      </c>
    </row>
    <row r="193" spans="2:4" x14ac:dyDescent="0.25">
      <c r="B193" s="22" t="s">
        <v>498</v>
      </c>
      <c r="C193" s="88">
        <v>1535237087.96</v>
      </c>
    </row>
    <row r="194" spans="2:4" x14ac:dyDescent="0.25">
      <c r="B194" s="22" t="s">
        <v>499</v>
      </c>
      <c r="C194" s="88">
        <v>1503501865.97</v>
      </c>
    </row>
    <row r="195" spans="2:4" x14ac:dyDescent="0.25">
      <c r="B195" s="22" t="s">
        <v>500</v>
      </c>
      <c r="C195" s="88">
        <v>500000000</v>
      </c>
    </row>
    <row r="196" spans="2:4" x14ac:dyDescent="0.25">
      <c r="C196" s="88"/>
    </row>
    <row r="197" spans="2:4" x14ac:dyDescent="0.25">
      <c r="C197" s="88"/>
    </row>
    <row r="198" spans="2:4" x14ac:dyDescent="0.25">
      <c r="C198" s="89">
        <f>SUM(C193:C197)</f>
        <v>3538738953.9300003</v>
      </c>
    </row>
    <row r="203" spans="2:4" x14ac:dyDescent="0.25">
      <c r="B203" s="90" t="s">
        <v>501</v>
      </c>
      <c r="C203" s="90" t="s">
        <v>152</v>
      </c>
      <c r="D203" s="90" t="s">
        <v>502</v>
      </c>
    </row>
    <row r="204" spans="2:4" x14ac:dyDescent="0.25">
      <c r="B204" s="22" t="s">
        <v>503</v>
      </c>
      <c r="C204" s="91">
        <f>+F35</f>
        <v>687358481.98000002</v>
      </c>
      <c r="D204" s="92">
        <f>+C204/$C$207</f>
        <v>5.6291435234657114E-2</v>
      </c>
    </row>
    <row r="205" spans="2:4" x14ac:dyDescent="0.25">
      <c r="B205" s="22" t="s">
        <v>504</v>
      </c>
      <c r="C205" s="91">
        <f>+D50</f>
        <v>11523353131.867998</v>
      </c>
      <c r="D205" s="92">
        <f>+C205/$C$207</f>
        <v>0.94370856476534293</v>
      </c>
    </row>
    <row r="206" spans="2:4" x14ac:dyDescent="0.25">
      <c r="B206" s="22" t="s">
        <v>505</v>
      </c>
      <c r="C206" s="91">
        <f>+D34</f>
        <v>0</v>
      </c>
      <c r="D206" s="92">
        <f>+C206/$C$207</f>
        <v>0</v>
      </c>
    </row>
    <row r="207" spans="2:4" x14ac:dyDescent="0.25">
      <c r="B207" s="90" t="s">
        <v>506</v>
      </c>
      <c r="C207" s="93">
        <f>SUM(C204:C206)</f>
        <v>12210711613.847998</v>
      </c>
      <c r="D207" s="94">
        <f>SUM(D204:D206)</f>
        <v>1</v>
      </c>
    </row>
  </sheetData>
  <mergeCells count="17">
    <mergeCell ref="A57:B57"/>
    <mergeCell ref="A58:B58"/>
    <mergeCell ref="D59:E59"/>
    <mergeCell ref="A43:B43"/>
    <mergeCell ref="A7:B7"/>
    <mergeCell ref="A18:E18"/>
    <mergeCell ref="A19:E19"/>
    <mergeCell ref="A20:E20"/>
    <mergeCell ref="A21:E21"/>
    <mergeCell ref="A35:B35"/>
    <mergeCell ref="A37:E37"/>
    <mergeCell ref="A38:E38"/>
    <mergeCell ref="A39:E39"/>
    <mergeCell ref="A40:E40"/>
    <mergeCell ref="A52:B52"/>
    <mergeCell ref="A55:B55"/>
    <mergeCell ref="A56:B5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50A4-F69C-4E4F-85C4-AB1D6CA94BF0}">
  <dimension ref="A5:S77"/>
  <sheetViews>
    <sheetView topLeftCell="A67" workbookViewId="0">
      <selection activeCell="C83" sqref="C83"/>
    </sheetView>
  </sheetViews>
  <sheetFormatPr baseColWidth="10" defaultColWidth="11.42578125" defaultRowHeight="15" x14ac:dyDescent="0.25"/>
  <cols>
    <col min="1" max="1" width="37.28515625" customWidth="1"/>
    <col min="2" max="2" width="15" bestFit="1" customWidth="1"/>
    <col min="3" max="3" width="17.42578125" customWidth="1"/>
    <col min="14" max="14" width="17.5703125" customWidth="1"/>
  </cols>
  <sheetData>
    <row r="5" spans="1:3" x14ac:dyDescent="0.25">
      <c r="A5" s="22" t="s">
        <v>507</v>
      </c>
      <c r="B5" s="22"/>
      <c r="C5" s="22"/>
    </row>
    <row r="6" spans="1:3" x14ac:dyDescent="0.25">
      <c r="A6" s="88">
        <v>183694068.65000001</v>
      </c>
      <c r="B6" s="22"/>
      <c r="C6" s="22"/>
    </row>
    <row r="7" spans="1:3" x14ac:dyDescent="0.25">
      <c r="A7" s="88">
        <f>+A6*0.65</f>
        <v>119401144.6225</v>
      </c>
      <c r="B7" s="22"/>
      <c r="C7" s="22"/>
    </row>
    <row r="8" spans="1:3" x14ac:dyDescent="0.25">
      <c r="A8" s="88">
        <f>+A6*0.35</f>
        <v>64292924.027499996</v>
      </c>
      <c r="B8" s="22"/>
      <c r="C8" s="22"/>
    </row>
    <row r="10" spans="1:3" x14ac:dyDescent="0.25">
      <c r="A10" s="213">
        <v>14849303.9</v>
      </c>
      <c r="B10" s="88">
        <f>+A10*0.65</f>
        <v>9652047.5350000001</v>
      </c>
      <c r="C10" s="88">
        <f>+A10*0.35</f>
        <v>5197256.3650000002</v>
      </c>
    </row>
    <row r="11" spans="1:3" x14ac:dyDescent="0.25">
      <c r="A11" s="213">
        <v>15596820.74</v>
      </c>
      <c r="B11" s="88">
        <f>+A11*0.65</f>
        <v>10137933.481000001</v>
      </c>
      <c r="C11" s="88">
        <f>+A11*0.35</f>
        <v>5458887.2589999996</v>
      </c>
    </row>
    <row r="14" spans="1:3" x14ac:dyDescent="0.25">
      <c r="A14" s="22" t="s">
        <v>508</v>
      </c>
      <c r="B14" s="22"/>
      <c r="C14" s="22"/>
    </row>
    <row r="16" spans="1:3" x14ac:dyDescent="0.25">
      <c r="A16" s="88">
        <v>8031120.75</v>
      </c>
      <c r="B16" s="88">
        <f>+A16/2</f>
        <v>4015560.375</v>
      </c>
      <c r="C16" s="22"/>
    </row>
    <row r="17" spans="1:2" x14ac:dyDescent="0.25">
      <c r="A17" s="88">
        <v>12387847.800000001</v>
      </c>
      <c r="B17" s="88">
        <f>+A17/2</f>
        <v>6193923.9000000004</v>
      </c>
    </row>
    <row r="23" spans="1:2" x14ac:dyDescent="0.25">
      <c r="A23" s="212">
        <v>3303586145.8899999</v>
      </c>
      <c r="B23" s="22"/>
    </row>
    <row r="24" spans="1:2" x14ac:dyDescent="0.25">
      <c r="A24" s="212">
        <v>341078200</v>
      </c>
      <c r="B24" s="22"/>
    </row>
    <row r="25" spans="1:2" x14ac:dyDescent="0.25">
      <c r="A25" s="212">
        <f>SUM(A23:A24)</f>
        <v>3644664345.8899999</v>
      </c>
      <c r="B25" s="22"/>
    </row>
    <row r="27" spans="1:2" x14ac:dyDescent="0.25">
      <c r="A27" s="212">
        <v>4081280464.4699998</v>
      </c>
      <c r="B27" s="22"/>
    </row>
    <row r="28" spans="1:2" x14ac:dyDescent="0.25">
      <c r="A28" s="212">
        <f>+A27-A25</f>
        <v>436616118.57999992</v>
      </c>
      <c r="B28" s="22"/>
    </row>
    <row r="30" spans="1:2" x14ac:dyDescent="0.25">
      <c r="A30" s="212">
        <f>+A28-'MAPP IFAM 2020 PROG. I'!AA37</f>
        <v>4212704.0599999428</v>
      </c>
      <c r="B30" s="22"/>
    </row>
    <row r="33" spans="1:19" x14ac:dyDescent="0.25">
      <c r="A33" s="212">
        <v>131847785.31</v>
      </c>
      <c r="B33" s="22"/>
      <c r="C33" s="22"/>
      <c r="D33" s="22"/>
      <c r="E33" s="22"/>
      <c r="F33" s="22"/>
      <c r="G33" s="22"/>
      <c r="H33" s="22"/>
      <c r="I33" s="22"/>
      <c r="J33" s="22"/>
      <c r="K33" s="22"/>
      <c r="L33" s="22"/>
      <c r="M33" s="22"/>
      <c r="N33" s="22"/>
      <c r="O33" s="22"/>
      <c r="P33" s="22"/>
      <c r="Q33" s="22"/>
      <c r="R33" s="22"/>
      <c r="S33" s="22"/>
    </row>
    <row r="34" spans="1:19" x14ac:dyDescent="0.25">
      <c r="A34" s="212">
        <v>208353273.56999999</v>
      </c>
      <c r="B34" s="22"/>
      <c r="C34" s="22"/>
      <c r="D34" s="22"/>
      <c r="E34" s="22"/>
      <c r="F34" s="22"/>
      <c r="G34" s="22"/>
      <c r="H34" s="22"/>
      <c r="I34" s="22"/>
      <c r="J34" s="22"/>
      <c r="K34" s="22"/>
      <c r="L34" s="22"/>
      <c r="M34" s="22"/>
      <c r="N34" s="22"/>
      <c r="O34" s="22"/>
      <c r="P34" s="22"/>
      <c r="Q34" s="22"/>
      <c r="R34" s="22"/>
      <c r="S34" s="22"/>
    </row>
    <row r="35" spans="1:19" x14ac:dyDescent="0.25">
      <c r="A35" s="212">
        <f>+A34-A33</f>
        <v>76505488.25999999</v>
      </c>
      <c r="B35" s="22"/>
      <c r="C35" s="22"/>
      <c r="D35" s="22"/>
      <c r="E35" s="22"/>
      <c r="F35" s="22"/>
      <c r="G35" s="22"/>
      <c r="H35" s="22"/>
      <c r="I35" s="22"/>
      <c r="J35" s="22"/>
      <c r="K35" s="22"/>
      <c r="L35" s="22"/>
      <c r="M35" s="22"/>
      <c r="N35" s="22"/>
      <c r="O35" s="22"/>
      <c r="P35" s="22"/>
      <c r="Q35" s="22"/>
      <c r="R35" s="22"/>
      <c r="S35" s="22"/>
    </row>
    <row r="36" spans="1:19" s="41" customFormat="1" ht="13.5" customHeight="1" x14ac:dyDescent="0.25">
      <c r="B36" s="224" t="s">
        <v>509</v>
      </c>
      <c r="C36" s="224" t="s">
        <v>12</v>
      </c>
      <c r="D36" s="476" t="s">
        <v>510</v>
      </c>
      <c r="E36" s="476" t="s">
        <v>511</v>
      </c>
      <c r="F36" s="476"/>
      <c r="G36" s="476"/>
      <c r="H36" s="476" t="s">
        <v>512</v>
      </c>
      <c r="I36" s="476"/>
      <c r="J36" s="476" t="s">
        <v>513</v>
      </c>
      <c r="K36" s="476"/>
      <c r="L36" s="476" t="s">
        <v>514</v>
      </c>
      <c r="M36" s="476"/>
      <c r="N36" s="476" t="s">
        <v>515</v>
      </c>
      <c r="P36" s="286" t="s">
        <v>516</v>
      </c>
      <c r="Q36" s="476" t="s">
        <v>517</v>
      </c>
      <c r="R36" s="476"/>
      <c r="S36" s="225" t="s">
        <v>518</v>
      </c>
    </row>
    <row r="37" spans="1:19" s="41" customFormat="1" ht="11.25" customHeight="1" x14ac:dyDescent="0.25">
      <c r="D37" s="476"/>
      <c r="E37" s="476"/>
      <c r="F37" s="476"/>
      <c r="G37" s="476"/>
      <c r="H37" s="476"/>
      <c r="I37" s="476"/>
      <c r="J37" s="476"/>
      <c r="K37" s="476"/>
      <c r="L37" s="476"/>
      <c r="M37" s="476"/>
      <c r="N37" s="476"/>
    </row>
    <row r="39" spans="1:19" x14ac:dyDescent="0.25">
      <c r="A39" s="223" t="s">
        <v>519</v>
      </c>
      <c r="B39" s="477" t="s">
        <v>266</v>
      </c>
      <c r="C39" s="285">
        <v>1374964097.3599999</v>
      </c>
      <c r="D39" s="475">
        <v>-10000000</v>
      </c>
      <c r="E39" s="475"/>
      <c r="F39" s="475"/>
      <c r="G39" s="475">
        <v>1364964097.3599999</v>
      </c>
      <c r="H39" s="475"/>
      <c r="I39" s="475">
        <v>193349680.65000001</v>
      </c>
      <c r="J39" s="475"/>
      <c r="K39" s="475">
        <v>78468078.439999998</v>
      </c>
      <c r="L39" s="475"/>
      <c r="M39" s="475">
        <v>271817759.08999997</v>
      </c>
      <c r="N39" s="475"/>
      <c r="O39" s="285">
        <v>115184438.2</v>
      </c>
      <c r="P39" s="475">
        <v>977961900.07000005</v>
      </c>
      <c r="Q39" s="475"/>
      <c r="R39" s="22"/>
      <c r="S39" s="22"/>
    </row>
    <row r="40" spans="1:19" x14ac:dyDescent="0.25">
      <c r="A40" s="41"/>
      <c r="B40" s="477"/>
      <c r="C40" s="41"/>
      <c r="D40" s="41"/>
      <c r="E40" s="41"/>
      <c r="F40" s="41"/>
      <c r="G40" s="41"/>
      <c r="H40" s="41"/>
      <c r="I40" s="41"/>
      <c r="J40" s="41"/>
      <c r="K40" s="41"/>
      <c r="L40" s="41"/>
      <c r="M40" s="41"/>
      <c r="N40" s="41"/>
      <c r="O40" s="41"/>
      <c r="P40" s="41"/>
      <c r="Q40" s="41"/>
      <c r="R40" s="22"/>
      <c r="S40" s="22"/>
    </row>
    <row r="42" spans="1:19" x14ac:dyDescent="0.25">
      <c r="A42" s="22"/>
      <c r="B42" s="22"/>
      <c r="C42" s="22"/>
      <c r="D42" s="22"/>
      <c r="E42" s="22"/>
      <c r="F42" s="22"/>
      <c r="G42" s="22"/>
      <c r="H42" s="22"/>
      <c r="I42" s="22"/>
      <c r="J42" s="22"/>
      <c r="K42" s="22"/>
      <c r="L42" s="22"/>
      <c r="M42" s="22"/>
      <c r="N42" s="212">
        <f>+M39-'MAPP IFAM 2020 PROG. I'!AI39</f>
        <v>-48321626.50999999</v>
      </c>
      <c r="O42" s="22"/>
      <c r="P42" s="22"/>
      <c r="Q42" s="22"/>
      <c r="R42" s="22"/>
      <c r="S42" s="22"/>
    </row>
    <row r="43" spans="1:19" x14ac:dyDescent="0.25">
      <c r="A43" s="22"/>
      <c r="B43" s="22"/>
      <c r="C43" s="22">
        <v>19318510.050000001</v>
      </c>
      <c r="D43" s="22"/>
      <c r="E43" s="22"/>
      <c r="F43" s="22"/>
      <c r="G43" s="22"/>
      <c r="H43" s="22"/>
      <c r="I43" s="22"/>
      <c r="J43" s="22"/>
      <c r="K43" s="22"/>
      <c r="L43" s="22"/>
      <c r="M43" s="22"/>
      <c r="N43" s="22"/>
      <c r="O43" s="22"/>
      <c r="P43" s="22"/>
      <c r="Q43" s="22"/>
      <c r="R43" s="22"/>
      <c r="S43" s="22"/>
    </row>
    <row r="44" spans="1:19" x14ac:dyDescent="0.25">
      <c r="A44" s="22"/>
      <c r="B44" s="22"/>
      <c r="C44" s="22">
        <v>16429853.279999999</v>
      </c>
      <c r="D44" s="22"/>
      <c r="E44" s="22"/>
      <c r="F44" s="22"/>
      <c r="G44" s="22"/>
      <c r="H44" s="22"/>
      <c r="I44" s="22"/>
      <c r="J44" s="22"/>
      <c r="K44" s="22"/>
      <c r="L44" s="22"/>
      <c r="M44" s="22"/>
      <c r="N44" s="22"/>
      <c r="O44" s="22"/>
      <c r="P44" s="22"/>
      <c r="Q44" s="22"/>
      <c r="R44" s="22"/>
      <c r="S44" s="22"/>
    </row>
    <row r="45" spans="1:19" x14ac:dyDescent="0.25">
      <c r="A45" s="22"/>
      <c r="B45" s="22"/>
      <c r="C45" s="22">
        <f>SUM(C43:C44)</f>
        <v>35748363.329999998</v>
      </c>
      <c r="D45" s="22"/>
      <c r="E45" s="22"/>
      <c r="F45" s="22"/>
      <c r="G45" s="22"/>
      <c r="H45" s="22"/>
      <c r="I45" s="22"/>
      <c r="J45" s="22"/>
      <c r="K45" s="22"/>
      <c r="L45" s="22"/>
      <c r="M45" s="22"/>
      <c r="N45" s="22"/>
      <c r="O45" s="22"/>
      <c r="P45" s="22"/>
      <c r="Q45" s="22"/>
      <c r="R45" s="22"/>
      <c r="S45" s="22"/>
    </row>
    <row r="46" spans="1:19" x14ac:dyDescent="0.25">
      <c r="A46" s="22" t="s">
        <v>520</v>
      </c>
      <c r="B46" s="22"/>
      <c r="C46" s="22"/>
      <c r="D46" s="22"/>
      <c r="E46" s="22"/>
      <c r="F46" s="22"/>
      <c r="G46" s="22"/>
      <c r="H46" s="22"/>
      <c r="I46" s="22"/>
      <c r="J46" s="22"/>
      <c r="K46" s="22"/>
      <c r="L46" s="22"/>
      <c r="M46" s="22"/>
      <c r="N46" s="22"/>
      <c r="O46" s="22"/>
      <c r="P46" s="22"/>
      <c r="Q46" s="22"/>
      <c r="R46" s="22"/>
      <c r="S46" s="22"/>
    </row>
    <row r="48" spans="1:19" ht="15.75" thickBot="1" x14ac:dyDescent="0.3">
      <c r="A48" s="22" t="s">
        <v>266</v>
      </c>
      <c r="B48" s="22"/>
      <c r="C48" s="22"/>
      <c r="D48" s="22"/>
      <c r="E48" s="22"/>
      <c r="F48" s="22"/>
      <c r="G48" s="22"/>
      <c r="H48" s="22"/>
      <c r="I48" s="22"/>
      <c r="J48" s="22"/>
      <c r="K48" s="22"/>
      <c r="L48" s="22"/>
      <c r="M48" s="22"/>
      <c r="N48" s="22"/>
      <c r="O48" s="22"/>
      <c r="P48" s="22"/>
      <c r="Q48" s="22"/>
      <c r="R48" s="22"/>
      <c r="S48" s="22"/>
    </row>
    <row r="49" spans="3:3" ht="16.5" thickTop="1" thickBot="1" x14ac:dyDescent="0.3">
      <c r="C49" s="205">
        <f>SUM(C51:C55)</f>
        <v>35748363.329999998</v>
      </c>
    </row>
    <row r="50" spans="3:3" ht="16.5" thickTop="1" thickBot="1" x14ac:dyDescent="0.3">
      <c r="C50" s="22"/>
    </row>
    <row r="51" spans="3:3" ht="16.5" thickTop="1" thickBot="1" x14ac:dyDescent="0.3">
      <c r="C51" s="195">
        <f>+$C$45*0.1</f>
        <v>3574836.3330000001</v>
      </c>
    </row>
    <row r="52" spans="3:3" ht="16.5" thickTop="1" thickBot="1" x14ac:dyDescent="0.3">
      <c r="C52" s="195">
        <f>+$C$45*0.1</f>
        <v>3574836.3330000001</v>
      </c>
    </row>
    <row r="53" spans="3:3" ht="16.5" thickTop="1" thickBot="1" x14ac:dyDescent="0.3">
      <c r="C53" s="195">
        <f>+$C$45*0.1</f>
        <v>3574836.3330000001</v>
      </c>
    </row>
    <row r="54" spans="3:3" ht="16.5" thickTop="1" thickBot="1" x14ac:dyDescent="0.3">
      <c r="C54" s="195">
        <f>+$C$45*0.55</f>
        <v>19661599.831500001</v>
      </c>
    </row>
    <row r="55" spans="3:3" ht="15.75" thickTop="1" x14ac:dyDescent="0.25">
      <c r="C55" s="195">
        <f>+$C$45*0.15</f>
        <v>5362254.4994999999</v>
      </c>
    </row>
    <row r="60" spans="3:3" ht="15.75" thickBot="1" x14ac:dyDescent="0.3">
      <c r="C60" s="22"/>
    </row>
    <row r="61" spans="3:3" ht="16.5" thickTop="1" thickBot="1" x14ac:dyDescent="0.3">
      <c r="C61" s="205">
        <f t="shared" ref="C61" si="0">SUM(C62:C66)</f>
        <v>0</v>
      </c>
    </row>
    <row r="62" spans="3:3" ht="16.5" thickTop="1" thickBot="1" x14ac:dyDescent="0.3">
      <c r="C62" s="195">
        <f>+A62+B62</f>
        <v>0</v>
      </c>
    </row>
    <row r="63" spans="3:3" ht="16.5" thickTop="1" thickBot="1" x14ac:dyDescent="0.3">
      <c r="C63" s="195">
        <f t="shared" ref="C63:C66" si="1">+A63+B63</f>
        <v>0</v>
      </c>
    </row>
    <row r="64" spans="3:3" ht="16.5" thickTop="1" thickBot="1" x14ac:dyDescent="0.3">
      <c r="C64" s="195">
        <f t="shared" si="1"/>
        <v>0</v>
      </c>
    </row>
    <row r="65" spans="1:3" ht="16.5" thickTop="1" thickBot="1" x14ac:dyDescent="0.3">
      <c r="C65" s="195">
        <f t="shared" si="1"/>
        <v>0</v>
      </c>
    </row>
    <row r="66" spans="1:3" ht="15.75" thickTop="1" x14ac:dyDescent="0.25">
      <c r="C66" s="195">
        <f t="shared" si="1"/>
        <v>0</v>
      </c>
    </row>
    <row r="74" spans="1:3" x14ac:dyDescent="0.25">
      <c r="A74" s="88">
        <f>+'MAPP IFAM 2020 PROG. I'!AC38</f>
        <v>3644664345.8899999</v>
      </c>
    </row>
    <row r="75" spans="1:3" x14ac:dyDescent="0.25">
      <c r="A75" s="88">
        <f>+[5]Hoja1!$E$4</f>
        <v>1058160820.0000001</v>
      </c>
    </row>
    <row r="76" spans="1:3" x14ac:dyDescent="0.25">
      <c r="A76" s="88">
        <f>+A74+A75</f>
        <v>4702825165.8900003</v>
      </c>
    </row>
    <row r="77" spans="1:3" x14ac:dyDescent="0.25">
      <c r="A77" s="89">
        <f>+A76-1099399304</f>
        <v>3603425861.8900003</v>
      </c>
    </row>
  </sheetData>
  <mergeCells count="14">
    <mergeCell ref="B39:B40"/>
    <mergeCell ref="D39:F39"/>
    <mergeCell ref="G39:H39"/>
    <mergeCell ref="I39:J39"/>
    <mergeCell ref="K39:L39"/>
    <mergeCell ref="P39:Q39"/>
    <mergeCell ref="D36:D37"/>
    <mergeCell ref="E36:G37"/>
    <mergeCell ref="H36:I37"/>
    <mergeCell ref="J36:K37"/>
    <mergeCell ref="L36:M37"/>
    <mergeCell ref="N36:N37"/>
    <mergeCell ref="Q36:R36"/>
    <mergeCell ref="M39:N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20A9-9A39-4407-A15D-730B605D6225}">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148D8-6180-4424-8CB4-6ED6B7D60492}">
  <dimension ref="A2:C74"/>
  <sheetViews>
    <sheetView topLeftCell="A40" zoomScale="75" zoomScaleNormal="75" workbookViewId="0">
      <selection activeCell="A43" sqref="A43:C74"/>
    </sheetView>
  </sheetViews>
  <sheetFormatPr baseColWidth="10" defaultColWidth="11.42578125" defaultRowHeight="15" x14ac:dyDescent="0.25"/>
  <cols>
    <col min="1" max="1" width="36.7109375" customWidth="1"/>
    <col min="2" max="2" width="39.7109375" customWidth="1"/>
    <col min="3" max="3" width="23" customWidth="1"/>
    <col min="4" max="4" width="22.28515625" customWidth="1"/>
  </cols>
  <sheetData>
    <row r="2" spans="1:3" ht="15.75" thickBot="1" x14ac:dyDescent="0.3">
      <c r="A2" s="22"/>
      <c r="B2" s="22"/>
      <c r="C2" s="22"/>
    </row>
    <row r="3" spans="1:3" ht="25.5" thickTop="1" thickBot="1" x14ac:dyDescent="0.3">
      <c r="A3" s="112" t="s">
        <v>135</v>
      </c>
      <c r="B3" s="112" t="s">
        <v>147</v>
      </c>
      <c r="C3" s="113" t="s">
        <v>152</v>
      </c>
    </row>
    <row r="4" spans="1:3" s="22" customFormat="1" ht="16.5" thickTop="1" thickBot="1" x14ac:dyDescent="0.3">
      <c r="A4" s="478" t="s">
        <v>166</v>
      </c>
      <c r="B4" s="479"/>
      <c r="C4" s="480"/>
    </row>
    <row r="5" spans="1:3" ht="25.5" thickTop="1" thickBot="1" x14ac:dyDescent="0.3">
      <c r="A5" s="36" t="s">
        <v>179</v>
      </c>
      <c r="B5" s="98" t="s">
        <v>180</v>
      </c>
      <c r="C5" s="43">
        <f>+'MAPP IFAM 2020 PROG. I'!AA19</f>
        <v>59811254.450000003</v>
      </c>
    </row>
    <row r="6" spans="1:3" s="22" customFormat="1" ht="16.5" thickTop="1" thickBot="1" x14ac:dyDescent="0.3">
      <c r="A6" s="478" t="s">
        <v>188</v>
      </c>
      <c r="B6" s="479"/>
      <c r="C6" s="480"/>
    </row>
    <row r="7" spans="1:3" ht="121.5" thickTop="1" thickBot="1" x14ac:dyDescent="0.3">
      <c r="A7" s="32" t="s">
        <v>521</v>
      </c>
      <c r="B7" s="32" t="s">
        <v>522</v>
      </c>
      <c r="C7" s="43">
        <f>+'MAPP IFAM 2020 PROG. I'!AA21</f>
        <v>124152806.73</v>
      </c>
    </row>
    <row r="8" spans="1:3" s="22" customFormat="1" ht="133.5" thickTop="1" thickBot="1" x14ac:dyDescent="0.3">
      <c r="A8" s="32" t="s">
        <v>523</v>
      </c>
      <c r="B8" s="32" t="s">
        <v>524</v>
      </c>
      <c r="C8" s="43" t="e">
        <f>+'MAPP IFAM 2020 PROG. I'!#REF!</f>
        <v>#REF!</v>
      </c>
    </row>
    <row r="9" spans="1:3" s="22" customFormat="1" ht="16.5" thickTop="1" thickBot="1" x14ac:dyDescent="0.3">
      <c r="A9" s="478" t="s">
        <v>525</v>
      </c>
      <c r="B9" s="479"/>
      <c r="C9" s="480"/>
    </row>
    <row r="10" spans="1:3" ht="37.5" thickTop="1" thickBot="1" x14ac:dyDescent="0.3">
      <c r="A10" s="32" t="s">
        <v>526</v>
      </c>
      <c r="B10" s="32" t="s">
        <v>527</v>
      </c>
      <c r="C10" s="43">
        <f>+'MAPP IFAM 2020 PROG. I'!AA23</f>
        <v>21985347.300000001</v>
      </c>
    </row>
    <row r="11" spans="1:3" s="22" customFormat="1" ht="16.5" thickTop="1" thickBot="1" x14ac:dyDescent="0.3">
      <c r="A11" s="478" t="s">
        <v>204</v>
      </c>
      <c r="B11" s="479"/>
      <c r="C11" s="480"/>
    </row>
    <row r="12" spans="1:3" s="22" customFormat="1" ht="108" customHeight="1" thickTop="1" thickBot="1" x14ac:dyDescent="0.3">
      <c r="A12" s="32" t="s">
        <v>206</v>
      </c>
      <c r="B12" s="32" t="s">
        <v>528</v>
      </c>
      <c r="C12" s="43">
        <v>140000000</v>
      </c>
    </row>
    <row r="13" spans="1:3" s="22" customFormat="1" ht="99.6" customHeight="1" thickTop="1" thickBot="1" x14ac:dyDescent="0.3">
      <c r="A13" s="32" t="s">
        <v>529</v>
      </c>
      <c r="B13" s="32" t="s">
        <v>530</v>
      </c>
      <c r="C13" s="43">
        <v>14300000</v>
      </c>
    </row>
    <row r="14" spans="1:3" s="22" customFormat="1" ht="16.5" thickTop="1" thickBot="1" x14ac:dyDescent="0.3">
      <c r="A14" s="478" t="s">
        <v>531</v>
      </c>
      <c r="B14" s="479"/>
      <c r="C14" s="480"/>
    </row>
    <row r="15" spans="1:3" ht="49.5" thickTop="1" thickBot="1" x14ac:dyDescent="0.3">
      <c r="A15" s="50" t="s">
        <v>532</v>
      </c>
      <c r="B15" s="50" t="s">
        <v>533</v>
      </c>
      <c r="C15" s="43">
        <v>13426666.66</v>
      </c>
    </row>
    <row r="16" spans="1:3" ht="37.5" thickTop="1" thickBot="1" x14ac:dyDescent="0.3">
      <c r="A16" s="50" t="s">
        <v>222</v>
      </c>
      <c r="B16" s="50" t="s">
        <v>224</v>
      </c>
      <c r="C16" s="43">
        <v>13426666.67</v>
      </c>
    </row>
    <row r="17" spans="1:3" ht="37.5" thickTop="1" thickBot="1" x14ac:dyDescent="0.3">
      <c r="A17" s="48" t="s">
        <v>229</v>
      </c>
      <c r="B17" s="50" t="s">
        <v>230</v>
      </c>
      <c r="C17" s="43">
        <v>13676666.67</v>
      </c>
    </row>
    <row r="18" spans="1:3" s="22" customFormat="1" ht="16.5" thickTop="1" thickBot="1" x14ac:dyDescent="0.3">
      <c r="A18" s="478" t="s">
        <v>232</v>
      </c>
      <c r="B18" s="479"/>
      <c r="C18" s="480"/>
    </row>
    <row r="19" spans="1:3" ht="37.5" thickTop="1" thickBot="1" x14ac:dyDescent="0.3">
      <c r="A19" s="32" t="s">
        <v>534</v>
      </c>
      <c r="B19" s="32" t="s">
        <v>535</v>
      </c>
      <c r="C19" s="43">
        <v>84800000</v>
      </c>
    </row>
    <row r="20" spans="1:3" ht="97.5" thickTop="1" thickBot="1" x14ac:dyDescent="0.3">
      <c r="A20" s="32" t="s">
        <v>536</v>
      </c>
      <c r="B20" s="32" t="s">
        <v>537</v>
      </c>
      <c r="C20" s="43">
        <v>30475000</v>
      </c>
    </row>
    <row r="21" spans="1:3" ht="97.5" thickTop="1" thickBot="1" x14ac:dyDescent="0.3">
      <c r="A21" s="32" t="s">
        <v>538</v>
      </c>
      <c r="B21" s="32" t="s">
        <v>539</v>
      </c>
      <c r="C21" s="43">
        <v>1054700</v>
      </c>
    </row>
    <row r="22" spans="1:3" s="22" customFormat="1" ht="16.5" thickTop="1" thickBot="1" x14ac:dyDescent="0.3">
      <c r="A22" s="478" t="s">
        <v>239</v>
      </c>
      <c r="B22" s="479"/>
      <c r="C22" s="480"/>
    </row>
    <row r="23" spans="1:3" ht="61.5" thickTop="1" thickBot="1" x14ac:dyDescent="0.3">
      <c r="A23" s="32" t="s">
        <v>242</v>
      </c>
      <c r="B23" s="32" t="s">
        <v>243</v>
      </c>
      <c r="C23" s="43">
        <v>7050000</v>
      </c>
    </row>
    <row r="24" spans="1:3" ht="49.5" thickTop="1" thickBot="1" x14ac:dyDescent="0.3">
      <c r="A24" s="32" t="s">
        <v>249</v>
      </c>
      <c r="B24" s="32" t="s">
        <v>250</v>
      </c>
      <c r="C24" s="43">
        <v>7050000</v>
      </c>
    </row>
    <row r="25" spans="1:3" s="22" customFormat="1" ht="16.5" thickTop="1" thickBot="1" x14ac:dyDescent="0.3">
      <c r="A25" s="478" t="s">
        <v>254</v>
      </c>
      <c r="B25" s="479"/>
      <c r="C25" s="480"/>
    </row>
    <row r="26" spans="1:3" ht="162.6" customHeight="1" thickTop="1" thickBot="1" x14ac:dyDescent="0.3">
      <c r="A26" s="36" t="s">
        <v>540</v>
      </c>
      <c r="B26" s="98" t="s">
        <v>541</v>
      </c>
      <c r="C26" s="43">
        <v>5700000</v>
      </c>
    </row>
    <row r="27" spans="1:3" s="22" customFormat="1" ht="19.899999999999999" customHeight="1" thickTop="1" thickBot="1" x14ac:dyDescent="0.3">
      <c r="A27" s="478" t="s">
        <v>266</v>
      </c>
      <c r="B27" s="479"/>
      <c r="C27" s="480"/>
    </row>
    <row r="28" spans="1:3" ht="73.5" thickTop="1" thickBot="1" x14ac:dyDescent="0.3">
      <c r="A28" s="32" t="s">
        <v>268</v>
      </c>
      <c r="B28" s="32" t="s">
        <v>269</v>
      </c>
      <c r="C28" s="43">
        <f>+'MAPP IFAM 2020 PROG. I'!AA40</f>
        <v>25493147.879999999</v>
      </c>
    </row>
    <row r="29" spans="1:3" ht="145.5" thickTop="1" thickBot="1" x14ac:dyDescent="0.3">
      <c r="A29" s="32" t="s">
        <v>275</v>
      </c>
      <c r="B29" s="32" t="s">
        <v>542</v>
      </c>
      <c r="C29" s="43">
        <f>+'MAPP IFAM 2020 PROG. I'!AA41</f>
        <v>53010228.119999997</v>
      </c>
    </row>
    <row r="30" spans="1:3" ht="37.5" thickTop="1" thickBot="1" x14ac:dyDescent="0.3">
      <c r="A30" s="32" t="s">
        <v>543</v>
      </c>
      <c r="B30" s="32" t="s">
        <v>544</v>
      </c>
      <c r="C30" s="43">
        <f>+'MAPP IFAM 2020 PROG. I'!AA42</f>
        <v>43801910.039999999</v>
      </c>
    </row>
    <row r="31" spans="1:3" ht="73.5" thickTop="1" thickBot="1" x14ac:dyDescent="0.3">
      <c r="A31" s="32" t="s">
        <v>545</v>
      </c>
      <c r="B31" s="32" t="s">
        <v>546</v>
      </c>
      <c r="C31" s="43">
        <f>+'MAPP IFAM 2020 PROG. I'!AA43</f>
        <v>712694336.37</v>
      </c>
    </row>
    <row r="32" spans="1:3" ht="61.5" thickTop="1" thickBot="1" x14ac:dyDescent="0.3">
      <c r="A32" s="32" t="s">
        <v>292</v>
      </c>
      <c r="B32" s="32" t="s">
        <v>293</v>
      </c>
      <c r="C32" s="43">
        <f>+'MAPP IFAM 2020 PROG. I'!AA44</f>
        <v>80000000</v>
      </c>
    </row>
    <row r="33" spans="1:3" ht="61.5" thickTop="1" thickBot="1" x14ac:dyDescent="0.3">
      <c r="A33" s="32" t="s">
        <v>296</v>
      </c>
      <c r="B33" s="32" t="s">
        <v>297</v>
      </c>
      <c r="C33" s="43">
        <f>+'MAPP IFAM 2020 PROG. I'!AA45</f>
        <v>99020755.810000002</v>
      </c>
    </row>
    <row r="34" spans="1:3" ht="37.5" thickTop="1" thickBot="1" x14ac:dyDescent="0.3">
      <c r="A34" s="32" t="s">
        <v>547</v>
      </c>
      <c r="B34" s="32" t="s">
        <v>548</v>
      </c>
      <c r="C34" s="43" t="e">
        <f>+'MAPP IFAM 2020 PROG. I'!#REF!</f>
        <v>#REF!</v>
      </c>
    </row>
    <row r="35" spans="1:3" ht="49.5" thickTop="1" thickBot="1" x14ac:dyDescent="0.3">
      <c r="A35" s="32" t="s">
        <v>302</v>
      </c>
      <c r="B35" s="32" t="s">
        <v>303</v>
      </c>
      <c r="C35" s="43">
        <f>+'MAPP IFAM 2020 PROG. I'!AA46</f>
        <v>4639710.05</v>
      </c>
    </row>
    <row r="36" spans="1:3" ht="109.5" thickTop="1" thickBot="1" x14ac:dyDescent="0.3">
      <c r="A36" s="32" t="s">
        <v>549</v>
      </c>
      <c r="B36" s="32" t="s">
        <v>550</v>
      </c>
      <c r="C36" s="43">
        <f>+'MAPP IFAM 2020 PROG. I'!AA47</f>
        <v>297670057.95999998</v>
      </c>
    </row>
    <row r="37" spans="1:3" ht="49.5" thickTop="1" thickBot="1" x14ac:dyDescent="0.3">
      <c r="A37" s="32" t="s">
        <v>312</v>
      </c>
      <c r="B37" s="32" t="s">
        <v>313</v>
      </c>
      <c r="C37" s="43">
        <f>+'MAPP IFAM 2020 PROG. I'!AA48</f>
        <v>50000000</v>
      </c>
    </row>
    <row r="38" spans="1:3" ht="115.15" customHeight="1" thickTop="1" thickBot="1" x14ac:dyDescent="0.3">
      <c r="A38" s="32" t="s">
        <v>317</v>
      </c>
      <c r="B38" s="32" t="s">
        <v>551</v>
      </c>
      <c r="C38" s="43">
        <f>+'MAPP IFAM 2020 PROG. I'!AA49</f>
        <v>18583951.130000003</v>
      </c>
    </row>
    <row r="39" spans="1:3" ht="15.75" thickTop="1" x14ac:dyDescent="0.25">
      <c r="A39" s="481" t="s">
        <v>552</v>
      </c>
      <c r="B39" s="482"/>
      <c r="C39" s="115" t="e">
        <f>SUM(C5:C38)</f>
        <v>#REF!</v>
      </c>
    </row>
    <row r="42" spans="1:3" ht="15.75" thickBot="1" x14ac:dyDescent="0.3">
      <c r="A42" s="22"/>
      <c r="B42" s="22"/>
      <c r="C42" s="22"/>
    </row>
    <row r="43" spans="1:3" ht="25.5" thickTop="1" thickBot="1" x14ac:dyDescent="0.3">
      <c r="A43" s="112" t="s">
        <v>135</v>
      </c>
      <c r="B43" s="112" t="s">
        <v>147</v>
      </c>
      <c r="C43" s="113" t="s">
        <v>152</v>
      </c>
    </row>
    <row r="44" spans="1:3" s="22" customFormat="1" ht="16.5" hidden="1" thickTop="1" thickBot="1" x14ac:dyDescent="0.3">
      <c r="A44" s="478" t="s">
        <v>341</v>
      </c>
      <c r="B44" s="479"/>
      <c r="C44" s="480"/>
    </row>
    <row r="45" spans="1:3" ht="49.5" hidden="1" thickTop="1" thickBot="1" x14ac:dyDescent="0.3">
      <c r="A45" s="32" t="s">
        <v>553</v>
      </c>
      <c r="B45" s="32" t="s">
        <v>554</v>
      </c>
      <c r="C45" s="39">
        <v>14435000</v>
      </c>
    </row>
    <row r="46" spans="1:3" s="22" customFormat="1" ht="16.5" hidden="1" thickTop="1" thickBot="1" x14ac:dyDescent="0.3">
      <c r="A46" s="478" t="s">
        <v>555</v>
      </c>
      <c r="B46" s="479"/>
      <c r="C46" s="480"/>
    </row>
    <row r="47" spans="1:3" ht="121.5" hidden="1" thickTop="1" thickBot="1" x14ac:dyDescent="0.3">
      <c r="A47" s="32" t="s">
        <v>351</v>
      </c>
      <c r="B47" s="32" t="s">
        <v>556</v>
      </c>
      <c r="C47" s="39">
        <v>60443253.8565</v>
      </c>
    </row>
    <row r="48" spans="1:3" ht="49.5" hidden="1" thickTop="1" thickBot="1" x14ac:dyDescent="0.3">
      <c r="A48" s="32" t="s">
        <v>557</v>
      </c>
      <c r="B48" s="32" t="s">
        <v>357</v>
      </c>
      <c r="C48" s="39">
        <v>3265952.3139</v>
      </c>
    </row>
    <row r="49" spans="1:3" ht="49.5" hidden="1" thickTop="1" thickBot="1" x14ac:dyDescent="0.3">
      <c r="A49" s="32" t="s">
        <v>558</v>
      </c>
      <c r="B49" s="32" t="s">
        <v>361</v>
      </c>
      <c r="C49" s="39">
        <v>10354603.085200001</v>
      </c>
    </row>
    <row r="50" spans="1:3" ht="49.5" hidden="1" thickTop="1" thickBot="1" x14ac:dyDescent="0.3">
      <c r="A50" s="32" t="s">
        <v>559</v>
      </c>
      <c r="B50" s="32" t="s">
        <v>365</v>
      </c>
      <c r="C50" s="39">
        <v>2509206.1704000002</v>
      </c>
    </row>
    <row r="51" spans="1:3" s="22" customFormat="1" ht="16.5" hidden="1" thickTop="1" thickBot="1" x14ac:dyDescent="0.3">
      <c r="A51" s="478" t="s">
        <v>560</v>
      </c>
      <c r="B51" s="479"/>
      <c r="C51" s="480"/>
    </row>
    <row r="52" spans="1:3" ht="37.5" hidden="1" thickTop="1" thickBot="1" x14ac:dyDescent="0.3">
      <c r="A52" s="32" t="s">
        <v>561</v>
      </c>
      <c r="B52" s="32" t="s">
        <v>371</v>
      </c>
      <c r="C52" s="39">
        <v>8204628734</v>
      </c>
    </row>
    <row r="53" spans="1:3" ht="25.5" hidden="1" thickTop="1" thickBot="1" x14ac:dyDescent="0.3">
      <c r="A53" s="32" t="s">
        <v>562</v>
      </c>
      <c r="B53" s="32" t="s">
        <v>563</v>
      </c>
      <c r="C53" s="52">
        <v>300000000</v>
      </c>
    </row>
    <row r="54" spans="1:3" ht="73.5" hidden="1" thickTop="1" thickBot="1" x14ac:dyDescent="0.3">
      <c r="A54" s="32" t="s">
        <v>564</v>
      </c>
      <c r="B54" s="32" t="s">
        <v>565</v>
      </c>
      <c r="C54" s="116">
        <v>208575000</v>
      </c>
    </row>
    <row r="55" spans="1:3" ht="229.5" hidden="1" thickTop="1" thickBot="1" x14ac:dyDescent="0.3">
      <c r="A55" s="32" t="s">
        <v>566</v>
      </c>
      <c r="B55" s="32" t="s">
        <v>386</v>
      </c>
      <c r="C55" s="39">
        <v>250000000</v>
      </c>
    </row>
    <row r="56" spans="1:3" ht="87" hidden="1" customHeight="1" thickTop="1" thickBot="1" x14ac:dyDescent="0.3">
      <c r="A56" s="32" t="s">
        <v>567</v>
      </c>
      <c r="B56" s="32" t="s">
        <v>568</v>
      </c>
      <c r="C56" s="52">
        <v>100000000</v>
      </c>
    </row>
    <row r="57" spans="1:3" ht="61.5" hidden="1" thickTop="1" thickBot="1" x14ac:dyDescent="0.3">
      <c r="A57" s="32" t="s">
        <v>569</v>
      </c>
      <c r="B57" s="32" t="s">
        <v>213</v>
      </c>
      <c r="C57" s="44">
        <v>110000000</v>
      </c>
    </row>
    <row r="58" spans="1:3" ht="61.5" hidden="1" thickTop="1" thickBot="1" x14ac:dyDescent="0.3">
      <c r="A58" s="32" t="s">
        <v>570</v>
      </c>
      <c r="B58" s="32" t="s">
        <v>571</v>
      </c>
      <c r="C58" s="39">
        <v>225000000</v>
      </c>
    </row>
    <row r="59" spans="1:3" s="22" customFormat="1" ht="16.5" hidden="1" thickTop="1" thickBot="1" x14ac:dyDescent="0.3">
      <c r="A59" s="478" t="s">
        <v>572</v>
      </c>
      <c r="B59" s="479"/>
      <c r="C59" s="480"/>
    </row>
    <row r="60" spans="1:3" ht="73.5" hidden="1" thickTop="1" thickBot="1" x14ac:dyDescent="0.3">
      <c r="A60" s="32" t="s">
        <v>394</v>
      </c>
      <c r="B60" s="32" t="s">
        <v>395</v>
      </c>
      <c r="C60" s="39">
        <v>120000000</v>
      </c>
    </row>
    <row r="61" spans="1:3" ht="109.5" hidden="1" thickTop="1" thickBot="1" x14ac:dyDescent="0.3">
      <c r="A61" s="24" t="s">
        <v>399</v>
      </c>
      <c r="B61" s="32" t="s">
        <v>400</v>
      </c>
      <c r="C61" s="39">
        <v>20000000</v>
      </c>
    </row>
    <row r="62" spans="1:3" ht="157.5" hidden="1" thickTop="1" thickBot="1" x14ac:dyDescent="0.3">
      <c r="A62" s="24" t="s">
        <v>403</v>
      </c>
      <c r="B62" s="32" t="s">
        <v>573</v>
      </c>
      <c r="C62" s="39">
        <v>5000000</v>
      </c>
    </row>
    <row r="63" spans="1:3" ht="49.5" hidden="1" thickTop="1" thickBot="1" x14ac:dyDescent="0.3">
      <c r="A63" s="32" t="s">
        <v>407</v>
      </c>
      <c r="B63" s="32" t="s">
        <v>408</v>
      </c>
      <c r="C63" s="52">
        <v>58000000</v>
      </c>
    </row>
    <row r="64" spans="1:3" ht="85.5" hidden="1" thickTop="1" thickBot="1" x14ac:dyDescent="0.3">
      <c r="A64" s="32" t="s">
        <v>412</v>
      </c>
      <c r="B64" s="32" t="s">
        <v>413</v>
      </c>
      <c r="C64" s="52">
        <v>40000000</v>
      </c>
    </row>
    <row r="65" spans="1:3" ht="49.5" hidden="1" thickTop="1" thickBot="1" x14ac:dyDescent="0.3">
      <c r="A65" s="32" t="s">
        <v>416</v>
      </c>
      <c r="B65" s="32" t="s">
        <v>417</v>
      </c>
      <c r="C65" s="52">
        <v>30000000</v>
      </c>
    </row>
    <row r="66" spans="1:3" ht="142.9" hidden="1" customHeight="1" thickTop="1" thickBot="1" x14ac:dyDescent="0.3">
      <c r="A66" s="100" t="s">
        <v>420</v>
      </c>
      <c r="B66" s="100" t="s">
        <v>574</v>
      </c>
      <c r="C66" s="101">
        <v>805000000</v>
      </c>
    </row>
    <row r="67" spans="1:3" ht="121.5" hidden="1" thickTop="1" thickBot="1" x14ac:dyDescent="0.3">
      <c r="A67" s="32" t="s">
        <v>575</v>
      </c>
      <c r="B67" s="32" t="s">
        <v>425</v>
      </c>
      <c r="C67" s="39">
        <v>30000000</v>
      </c>
    </row>
    <row r="68" spans="1:3" s="22" customFormat="1" ht="16.5" thickTop="1" thickBot="1" x14ac:dyDescent="0.3">
      <c r="A68" s="478" t="s">
        <v>576</v>
      </c>
      <c r="B68" s="479"/>
      <c r="C68" s="480"/>
    </row>
    <row r="69" spans="1:3" ht="37.5" thickTop="1" thickBot="1" x14ac:dyDescent="0.3">
      <c r="A69" s="32" t="s">
        <v>431</v>
      </c>
      <c r="B69" s="32" t="s">
        <v>432</v>
      </c>
      <c r="C69" s="43">
        <v>100000000</v>
      </c>
    </row>
    <row r="70" spans="1:3" ht="61.5" thickTop="1" thickBot="1" x14ac:dyDescent="0.3">
      <c r="A70" s="32" t="s">
        <v>435</v>
      </c>
      <c r="B70" s="32" t="s">
        <v>436</v>
      </c>
      <c r="C70" s="44">
        <v>150000000</v>
      </c>
    </row>
    <row r="71" spans="1:3" ht="37.5" thickTop="1" thickBot="1" x14ac:dyDescent="0.3">
      <c r="A71" s="32" t="s">
        <v>439</v>
      </c>
      <c r="B71" s="49" t="s">
        <v>440</v>
      </c>
      <c r="C71" s="44">
        <v>100000000</v>
      </c>
    </row>
    <row r="72" spans="1:3" ht="133.5" thickTop="1" thickBot="1" x14ac:dyDescent="0.3">
      <c r="A72" s="49" t="s">
        <v>577</v>
      </c>
      <c r="B72" s="49" t="s">
        <v>443</v>
      </c>
      <c r="C72" s="43">
        <v>763750132.55200005</v>
      </c>
    </row>
    <row r="73" spans="1:3" ht="37.5" thickTop="1" thickBot="1" x14ac:dyDescent="0.3">
      <c r="A73" s="49" t="s">
        <v>445</v>
      </c>
      <c r="B73" s="49" t="s">
        <v>446</v>
      </c>
      <c r="C73" s="43">
        <v>162097712.958</v>
      </c>
    </row>
    <row r="74" spans="1:3" ht="15.75" thickTop="1" x14ac:dyDescent="0.25">
      <c r="A74" s="481" t="s">
        <v>449</v>
      </c>
      <c r="B74" s="482"/>
      <c r="C74" s="114">
        <f>SUM(C45:C73)</f>
        <v>11873059594.935999</v>
      </c>
    </row>
  </sheetData>
  <mergeCells count="16">
    <mergeCell ref="A68:C68"/>
    <mergeCell ref="A39:B39"/>
    <mergeCell ref="A74:B74"/>
    <mergeCell ref="A4:C4"/>
    <mergeCell ref="A6:C6"/>
    <mergeCell ref="A9:C9"/>
    <mergeCell ref="A11:C11"/>
    <mergeCell ref="A14:C14"/>
    <mergeCell ref="A18:C18"/>
    <mergeCell ref="A22:C22"/>
    <mergeCell ref="A25:C25"/>
    <mergeCell ref="A27:C27"/>
    <mergeCell ref="A44:C44"/>
    <mergeCell ref="A46:C46"/>
    <mergeCell ref="A51:C51"/>
    <mergeCell ref="A59:C59"/>
  </mergeCells>
  <dataValidations count="2">
    <dataValidation type="list" showInputMessage="1" showErrorMessage="1" sqref="A16" xr:uid="{5EBA4EED-B946-40BB-B5E5-A7D7166C291A}">
      <formula1>#REF!</formula1>
    </dataValidation>
    <dataValidation type="list" allowBlank="1" showInputMessage="1" showErrorMessage="1" sqref="A61:A62" xr:uid="{2E158595-E749-479B-A7A2-D33F659F25C8}">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21244AB1CB6F4A92869650DB664533" ma:contentTypeVersion="7" ma:contentTypeDescription="Crear nuevo documento." ma:contentTypeScope="" ma:versionID="b8ae5fed7e59b028084631b1572d06e8">
  <xsd:schema xmlns:xsd="http://www.w3.org/2001/XMLSchema" xmlns:xs="http://www.w3.org/2001/XMLSchema" xmlns:p="http://schemas.microsoft.com/office/2006/metadata/properties" xmlns:ns3="e0390cd3-084a-4ac6-8761-d898f9bf8862" xmlns:ns4="ee43828c-feac-4506-82e5-04bb735d73ee" targetNamespace="http://schemas.microsoft.com/office/2006/metadata/properties" ma:root="true" ma:fieldsID="a6b55939223fb1ece7158fa179fa4b98" ns3:_="" ns4:_="">
    <xsd:import namespace="e0390cd3-084a-4ac6-8761-d898f9bf8862"/>
    <xsd:import namespace="ee43828c-feac-4506-82e5-04bb735d73e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390cd3-084a-4ac6-8761-d898f9bf8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43828c-feac-4506-82e5-04bb735d73e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B0A62-B490-4D34-A368-AA1C60648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390cd3-084a-4ac6-8761-d898f9bf8862"/>
    <ds:schemaRef ds:uri="ee43828c-feac-4506-82e5-04bb735d7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9801E1-64F1-4CF1-A622-C9B87AFBA94D}">
  <ds:schemaRefs>
    <ds:schemaRef ds:uri="http://schemas.microsoft.com/office/2006/documentManagement/types"/>
    <ds:schemaRef ds:uri="http://schemas.openxmlformats.org/package/2006/metadata/core-properties"/>
    <ds:schemaRef ds:uri="http://purl.org/dc/dcmitype/"/>
    <ds:schemaRef ds:uri="ee43828c-feac-4506-82e5-04bb735d73ee"/>
    <ds:schemaRef ds:uri="http://purl.org/dc/elements/1.1/"/>
    <ds:schemaRef ds:uri="http://schemas.microsoft.com/office/2006/metadata/properties"/>
    <ds:schemaRef ds:uri="http://schemas.microsoft.com/office/infopath/2007/PartnerControls"/>
    <ds:schemaRef ds:uri="e0390cd3-084a-4ac6-8761-d898f9bf8862"/>
    <ds:schemaRef ds:uri="http://www.w3.org/XML/1998/namespace"/>
    <ds:schemaRef ds:uri="http://purl.org/dc/terms/"/>
  </ds:schemaRefs>
</ds:datastoreItem>
</file>

<file path=customXml/itemProps3.xml><?xml version="1.0" encoding="utf-8"?>
<ds:datastoreItem xmlns:ds="http://schemas.openxmlformats.org/officeDocument/2006/customXml" ds:itemID="{5B877204-2CEA-4B10-94DF-3C94BEDD19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FICHA TECNICA DEL INDICADOR</vt:lpstr>
      <vt:lpstr>MAPP IFAM 2020 PROG. I</vt:lpstr>
      <vt:lpstr>MAPP IFAM PROG. II</vt:lpstr>
      <vt:lpstr>RESUMEN PRESUPUESTO</vt:lpstr>
      <vt:lpstr>Hoja1</vt:lpstr>
      <vt:lpstr>Hoja2</vt:lpstr>
      <vt:lpstr>Resumen de metas</vt:lpstr>
      <vt:lpstr>'MAPP IFAM PROG. II'!Área_de_impresión</vt:lpstr>
      <vt:lpstr>'MAPP IFAM 2020 PROG. I'!Títulos_a_imprimir</vt:lpstr>
      <vt:lpstr>'MAPP IFAM PROG. II'!Títulos_a_imprimir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Nereida Azofeifa Rivas</cp:lastModifiedBy>
  <cp:revision/>
  <dcterms:created xsi:type="dcterms:W3CDTF">2015-03-06T17:33:50Z</dcterms:created>
  <dcterms:modified xsi:type="dcterms:W3CDTF">2020-05-09T00:53:12Z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0x0101003F21244AB1CB6F4A92869650DB664533</vt:lpwstr>
  </property>
</Properties>
</file>