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D:\Usuarios\cesteban\Desktop\"/>
    </mc:Choice>
  </mc:AlternateContent>
  <xr:revisionPtr revIDLastSave="0" documentId="13_ncr:1_{33A8ABB7-2E5B-4083-ABBC-48A7F0747613}" xr6:coauthVersionLast="45" xr6:coauthVersionMax="45" xr10:uidLastSave="{00000000-0000-0000-0000-000000000000}"/>
  <bookViews>
    <workbookView xWindow="-120" yWindow="-120" windowWidth="29040" windowHeight="15840" xr2:uid="{00000000-000D-0000-FFFF-FFFF00000000}"/>
  </bookViews>
  <sheets>
    <sheet name="EXTRALIMITE " sheetId="8" r:id="rId1"/>
    <sheet name="ESRI_MAPINFO_SHEET" sheetId="9" state="very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48" i="8" l="1"/>
  <c r="J62" i="8"/>
  <c r="J70" i="8"/>
  <c r="G19" i="8"/>
  <c r="H19" i="8" s="1"/>
  <c r="J19" i="8" s="1"/>
  <c r="I18" i="8"/>
  <c r="A106" i="8"/>
  <c r="A107" i="8" s="1"/>
  <c r="A121" i="8"/>
  <c r="G90" i="8"/>
  <c r="V34" i="8"/>
  <c r="W34" i="8"/>
  <c r="V35" i="8"/>
  <c r="W35" i="8"/>
  <c r="V38" i="8"/>
  <c r="V48" i="8"/>
  <c r="V66" i="8"/>
  <c r="Z97" i="8"/>
  <c r="Z99" i="8"/>
  <c r="X109" i="8"/>
  <c r="Z109" i="8" s="1"/>
  <c r="Z127" i="8"/>
  <c r="Z132" i="8"/>
  <c r="Z136" i="8"/>
  <c r="Z140" i="8"/>
  <c r="Z142" i="8"/>
  <c r="X144" i="8"/>
  <c r="Z144" i="8" s="1"/>
  <c r="Z155" i="8"/>
  <c r="Z157" i="8"/>
  <c r="Z159" i="8"/>
  <c r="Z171" i="8"/>
  <c r="Z175" i="8"/>
  <c r="X181" i="8"/>
  <c r="Z181" i="8" s="1"/>
  <c r="Z186" i="8"/>
  <c r="Z194" i="8"/>
  <c r="I69" i="8"/>
  <c r="L90" i="8"/>
  <c r="K90" i="8"/>
  <c r="L13" i="8" l="1"/>
  <c r="R52" i="8"/>
  <c r="S197" i="8"/>
  <c r="R22" i="8"/>
  <c r="R24" i="8" l="1"/>
  <c r="G79" i="8"/>
  <c r="T171" i="8" l="1"/>
  <c r="T167" i="8"/>
  <c r="X167" i="8" s="1"/>
  <c r="Z167" i="8" s="1"/>
  <c r="T161" i="8"/>
  <c r="X161" i="8" s="1"/>
  <c r="Z161" i="8" s="1"/>
  <c r="T159" i="8"/>
  <c r="T157" i="8"/>
  <c r="T147" i="8"/>
  <c r="X147" i="8" s="1"/>
  <c r="Z147" i="8" s="1"/>
  <c r="E39" i="8"/>
  <c r="F39" i="8"/>
  <c r="D39" i="8"/>
  <c r="G4" i="8" l="1"/>
  <c r="R179" i="8" l="1"/>
  <c r="T179" i="8" s="1"/>
  <c r="X179" i="8" s="1"/>
  <c r="Z179" i="8" s="1"/>
  <c r="G49" i="8"/>
  <c r="H49" i="8" s="1"/>
  <c r="J49" i="8" s="1"/>
  <c r="G111" i="8"/>
  <c r="G77" i="8"/>
  <c r="G78" i="8"/>
  <c r="G72" i="8"/>
  <c r="J72" i="8" s="1"/>
  <c r="G73" i="8"/>
  <c r="G74" i="8"/>
  <c r="G75" i="8"/>
  <c r="V67" i="8" s="1"/>
  <c r="G71" i="8"/>
  <c r="G65" i="8"/>
  <c r="H65" i="8" s="1"/>
  <c r="J65" i="8" s="1"/>
  <c r="G68" i="8"/>
  <c r="H68" i="8" s="1"/>
  <c r="J68" i="8" s="1"/>
  <c r="J63" i="8"/>
  <c r="G34" i="8"/>
  <c r="H34" i="8" s="1"/>
  <c r="J34" i="8" s="1"/>
  <c r="G36" i="8"/>
  <c r="H36" i="8" s="1"/>
  <c r="J36" i="8" s="1"/>
  <c r="G37" i="8"/>
  <c r="H37" i="8" s="1"/>
  <c r="J37" i="8" s="1"/>
  <c r="G39" i="8"/>
  <c r="H39" i="8" s="1"/>
  <c r="J39" i="8" s="1"/>
  <c r="G41" i="8"/>
  <c r="H41" i="8" s="1"/>
  <c r="J41" i="8" s="1"/>
  <c r="G42" i="8"/>
  <c r="H42" i="8" s="1"/>
  <c r="J42" i="8" s="1"/>
  <c r="G5" i="8"/>
  <c r="G6" i="8"/>
  <c r="G7" i="8"/>
  <c r="G8" i="8"/>
  <c r="G9" i="8"/>
  <c r="G10" i="8"/>
  <c r="G11" i="8"/>
  <c r="G12" i="8"/>
  <c r="G13" i="8"/>
  <c r="G14" i="8"/>
  <c r="G15" i="8"/>
  <c r="J71" i="8" l="1"/>
  <c r="V68" i="8"/>
  <c r="H74" i="8"/>
  <c r="J74" i="8" s="1"/>
  <c r="I73" i="8"/>
  <c r="V37" i="8"/>
  <c r="R15" i="8"/>
  <c r="R17" i="8" s="1"/>
  <c r="R78" i="8"/>
  <c r="G35" i="8"/>
  <c r="H35" i="8" s="1"/>
  <c r="J35" i="8" s="1"/>
  <c r="H73" i="8" l="1"/>
  <c r="J73" i="8" s="1"/>
  <c r="F54" i="8"/>
  <c r="R173" i="8"/>
  <c r="T173" i="8" s="1"/>
  <c r="X173" i="8" s="1"/>
  <c r="Z173" i="8" s="1"/>
  <c r="R163" i="8" l="1"/>
  <c r="T163" i="8" s="1"/>
  <c r="X163" i="8" s="1"/>
  <c r="Z163" i="8" s="1"/>
  <c r="F43" i="8"/>
  <c r="R108" i="8"/>
  <c r="T183" i="8" l="1"/>
  <c r="X183" i="8" s="1"/>
  <c r="Z183" i="8" s="1"/>
  <c r="C183" i="8"/>
  <c r="B183" i="8"/>
  <c r="E66" i="8" l="1"/>
  <c r="G66" i="8" s="1"/>
  <c r="D61" i="8"/>
  <c r="F61" i="8"/>
  <c r="I66" i="8" l="1"/>
  <c r="V64" i="8"/>
  <c r="J61" i="8"/>
  <c r="H66" i="8" l="1"/>
  <c r="J66" i="8" s="1"/>
  <c r="E64" i="8" l="1"/>
  <c r="T155" i="8" l="1"/>
  <c r="T165" i="8"/>
  <c r="T169" i="8"/>
  <c r="X169" i="8" s="1"/>
  <c r="Z169" i="8" s="1"/>
  <c r="T175" i="8"/>
  <c r="T177" i="8"/>
  <c r="AB178" i="8" s="1"/>
  <c r="T181" i="8"/>
  <c r="T184" i="8"/>
  <c r="X184" i="8" s="1"/>
  <c r="Z184" i="8" s="1"/>
  <c r="AB177" i="8"/>
  <c r="AB188" i="8"/>
  <c r="AB190" i="8"/>
  <c r="AB192" i="8"/>
  <c r="X165" i="8" l="1"/>
  <c r="Z165" i="8" s="1"/>
  <c r="E67" i="8"/>
  <c r="G67" i="8" s="1"/>
  <c r="H67" i="8" s="1"/>
  <c r="J67" i="8" s="1"/>
  <c r="R111" i="8"/>
  <c r="T111" i="8" s="1"/>
  <c r="X111" i="8" s="1"/>
  <c r="Z111" i="8" s="1"/>
  <c r="R125" i="8"/>
  <c r="E54" i="8" l="1"/>
  <c r="B117" i="8"/>
  <c r="G124" i="8"/>
  <c r="R129" i="8"/>
  <c r="E69" i="8" l="1"/>
  <c r="F69" i="8"/>
  <c r="D69" i="8"/>
  <c r="F64" i="8"/>
  <c r="D64" i="8"/>
  <c r="E60" i="8"/>
  <c r="F60" i="8"/>
  <c r="E59" i="8"/>
  <c r="F59" i="8"/>
  <c r="E58" i="8"/>
  <c r="F58" i="8"/>
  <c r="E57" i="8"/>
  <c r="F57" i="8"/>
  <c r="E56" i="8"/>
  <c r="F56" i="8"/>
  <c r="E55" i="8"/>
  <c r="F55" i="8"/>
  <c r="E53" i="8"/>
  <c r="F53" i="8"/>
  <c r="E52" i="8"/>
  <c r="F52" i="8"/>
  <c r="E51" i="8"/>
  <c r="F51" i="8"/>
  <c r="E50" i="8"/>
  <c r="F50" i="8"/>
  <c r="D50" i="8"/>
  <c r="G50" i="8" l="1"/>
  <c r="H50" i="8" s="1"/>
  <c r="J50" i="8" s="1"/>
  <c r="G64" i="8"/>
  <c r="G69" i="8"/>
  <c r="H69" i="8" s="1"/>
  <c r="J69" i="8" s="1"/>
  <c r="D60" i="8"/>
  <c r="G60" i="8" s="1"/>
  <c r="H60" i="8" s="1"/>
  <c r="J60" i="8" s="1"/>
  <c r="D59" i="8"/>
  <c r="G59" i="8" s="1"/>
  <c r="H59" i="8" s="1"/>
  <c r="J59" i="8" s="1"/>
  <c r="D58" i="8"/>
  <c r="G58" i="8" s="1"/>
  <c r="D57" i="8"/>
  <c r="G57" i="8" s="1"/>
  <c r="H57" i="8" s="1"/>
  <c r="J57" i="8" s="1"/>
  <c r="D56" i="8"/>
  <c r="G56" i="8" s="1"/>
  <c r="D55" i="8"/>
  <c r="G55" i="8" s="1"/>
  <c r="H55" i="8" s="1"/>
  <c r="J55" i="8" s="1"/>
  <c r="D54" i="8"/>
  <c r="G54" i="8" s="1"/>
  <c r="D53" i="8"/>
  <c r="G53" i="8" s="1"/>
  <c r="H53" i="8" s="1"/>
  <c r="J53" i="8" s="1"/>
  <c r="D52" i="8"/>
  <c r="G52" i="8" s="1"/>
  <c r="H52" i="8" s="1"/>
  <c r="J52" i="8" s="1"/>
  <c r="D51" i="8"/>
  <c r="G51" i="8" s="1"/>
  <c r="H51" i="8" s="1"/>
  <c r="J51" i="8" s="1"/>
  <c r="G146" i="8"/>
  <c r="R146" i="8" s="1"/>
  <c r="G144" i="8"/>
  <c r="V60" i="8" l="1"/>
  <c r="H58" i="8"/>
  <c r="J58" i="8" s="1"/>
  <c r="V57" i="8"/>
  <c r="I64" i="8"/>
  <c r="V63" i="8"/>
  <c r="I56" i="8"/>
  <c r="H56" i="8" s="1"/>
  <c r="J56" i="8" s="1"/>
  <c r="V58" i="8"/>
  <c r="I54" i="8"/>
  <c r="H54" i="8" s="1"/>
  <c r="J54" i="8" s="1"/>
  <c r="R144" i="8"/>
  <c r="T144" i="8" s="1"/>
  <c r="A138" i="8"/>
  <c r="A140" i="8" s="1"/>
  <c r="R69" i="8"/>
  <c r="R61" i="8"/>
  <c r="E43" i="8"/>
  <c r="R151" i="8"/>
  <c r="R149" i="8"/>
  <c r="T149" i="8" s="1"/>
  <c r="X149" i="8" s="1"/>
  <c r="Z149" i="8" s="1"/>
  <c r="R153" i="8"/>
  <c r="T153" i="8" s="1"/>
  <c r="X153" i="8" s="1"/>
  <c r="Z153" i="8" s="1"/>
  <c r="R130" i="8"/>
  <c r="R131" i="8"/>
  <c r="R124" i="8"/>
  <c r="R126" i="8"/>
  <c r="I80" i="8" l="1"/>
  <c r="I84" i="8" s="1"/>
  <c r="H64" i="8"/>
  <c r="J64" i="8" s="1"/>
  <c r="T39" i="8"/>
  <c r="T42" i="8" s="1"/>
  <c r="G43" i="8"/>
  <c r="H43" i="8" s="1"/>
  <c r="J43" i="8" s="1"/>
  <c r="T129" i="8"/>
  <c r="T123" i="8"/>
  <c r="AB145" i="8"/>
  <c r="AB187" i="8"/>
  <c r="AB185" i="8"/>
  <c r="AB182" i="8"/>
  <c r="AB180" i="8"/>
  <c r="AB176" i="8"/>
  <c r="AB174" i="8"/>
  <c r="AB172" i="8"/>
  <c r="AB170" i="8"/>
  <c r="AB168" i="8"/>
  <c r="AB166" i="8"/>
  <c r="AB164" i="8"/>
  <c r="AB162" i="8"/>
  <c r="AB160" i="8"/>
  <c r="AB156" i="8"/>
  <c r="D20" i="8"/>
  <c r="F20" i="8"/>
  <c r="E20" i="8"/>
  <c r="X123" i="8" l="1"/>
  <c r="Z123" i="8" s="1"/>
  <c r="AB125" i="8" s="1"/>
  <c r="X129" i="8"/>
  <c r="Z129" i="8" s="1"/>
  <c r="AB130" i="8" s="1"/>
  <c r="R41" i="8"/>
  <c r="S43" i="8"/>
  <c r="G20" i="8"/>
  <c r="H20" i="8" s="1"/>
  <c r="J20" i="8" s="1"/>
  <c r="AB158" i="8"/>
  <c r="R121" i="8"/>
  <c r="E21" i="8"/>
  <c r="F21" i="8"/>
  <c r="D21" i="8"/>
  <c r="G99" i="8"/>
  <c r="R99" i="8" s="1"/>
  <c r="B121" i="8"/>
  <c r="R138" i="8"/>
  <c r="T138" i="8" s="1"/>
  <c r="X138" i="8" s="1"/>
  <c r="Z138" i="8" s="1"/>
  <c r="R119" i="8"/>
  <c r="T119" i="8" s="1"/>
  <c r="X119" i="8" s="1"/>
  <c r="Z119" i="8" s="1"/>
  <c r="E30" i="8"/>
  <c r="F30" i="8"/>
  <c r="R118" i="8"/>
  <c r="W117" i="8" s="1"/>
  <c r="Z117" i="8" s="1"/>
  <c r="G115" i="8"/>
  <c r="R115" i="8" s="1"/>
  <c r="T115" i="8" s="1"/>
  <c r="X115" i="8" s="1"/>
  <c r="Z115" i="8" s="1"/>
  <c r="R113" i="8"/>
  <c r="T113" i="8" s="1"/>
  <c r="X113" i="8" s="1"/>
  <c r="Z113" i="8" s="1"/>
  <c r="R107" i="8"/>
  <c r="T107" i="8" s="1"/>
  <c r="X107" i="8" s="1"/>
  <c r="Z107" i="8" s="1"/>
  <c r="R101" i="8"/>
  <c r="T101" i="8" s="1"/>
  <c r="X101" i="8" s="1"/>
  <c r="Z101" i="8" s="1"/>
  <c r="E38" i="8" l="1"/>
  <c r="G38" i="8" s="1"/>
  <c r="H38" i="8" s="1"/>
  <c r="J38" i="8" s="1"/>
  <c r="E33" i="8"/>
  <c r="G33" i="8" s="1"/>
  <c r="H33" i="8" s="1"/>
  <c r="J33" i="8" s="1"/>
  <c r="T121" i="8"/>
  <c r="G21" i="8"/>
  <c r="H21" i="8" s="1"/>
  <c r="J21" i="8" s="1"/>
  <c r="T99" i="8"/>
  <c r="AB99" i="8" s="1"/>
  <c r="T117" i="8"/>
  <c r="D30" i="8"/>
  <c r="G30" i="8" s="1"/>
  <c r="H30" i="8" s="1"/>
  <c r="J30" i="8" s="1"/>
  <c r="AB107" i="8"/>
  <c r="E26" i="8"/>
  <c r="G26" i="8" s="1"/>
  <c r="H26" i="8" s="1"/>
  <c r="J26" i="8" s="1"/>
  <c r="E31" i="8"/>
  <c r="G31" i="8" s="1"/>
  <c r="H31" i="8" s="1"/>
  <c r="J31" i="8" s="1"/>
  <c r="E22" i="8"/>
  <c r="AB101" i="8"/>
  <c r="R95" i="8"/>
  <c r="G22" i="8" l="1"/>
  <c r="H22" i="8" s="1"/>
  <c r="J22" i="8" s="1"/>
  <c r="T95" i="8"/>
  <c r="T88" i="8" s="1"/>
  <c r="U88" i="8" s="1"/>
  <c r="X95" i="8"/>
  <c r="Z95" i="8" s="1"/>
  <c r="E32" i="8"/>
  <c r="G32" i="8" s="1"/>
  <c r="H32" i="8" s="1"/>
  <c r="J32" i="8" s="1"/>
  <c r="X121" i="8"/>
  <c r="Z121" i="8" s="1"/>
  <c r="AB122" i="8" s="1"/>
  <c r="AB117" i="8"/>
  <c r="E25" i="8"/>
  <c r="G25" i="8" s="1"/>
  <c r="H25" i="8" s="1"/>
  <c r="J25" i="8" s="1"/>
  <c r="G97" i="8"/>
  <c r="R97" i="8" s="1"/>
  <c r="F18" i="8" l="1"/>
  <c r="F80" i="8" s="1"/>
  <c r="D18" i="8"/>
  <c r="D80" i="8" s="1"/>
  <c r="U134" i="8" l="1"/>
  <c r="U132" i="8"/>
  <c r="U136" i="8" s="1"/>
  <c r="U149" i="8" s="1"/>
  <c r="U151" i="8" s="1"/>
  <c r="U153" i="8" s="1"/>
  <c r="U155" i="8" s="1"/>
  <c r="B101" i="8"/>
  <c r="R105" i="8"/>
  <c r="T105" i="8" s="1"/>
  <c r="X105" i="8" s="1"/>
  <c r="R103" i="8"/>
  <c r="T103" i="8" s="1"/>
  <c r="X103" i="8" s="1"/>
  <c r="Z103" i="8" s="1"/>
  <c r="T109" i="8"/>
  <c r="AB110" i="8" s="1"/>
  <c r="AB119" i="8"/>
  <c r="T127" i="8"/>
  <c r="T132" i="8"/>
  <c r="T134" i="8"/>
  <c r="T136" i="8"/>
  <c r="T140" i="8"/>
  <c r="T142" i="8"/>
  <c r="T151" i="8"/>
  <c r="X151" i="8" s="1"/>
  <c r="Z151" i="8" s="1"/>
  <c r="T188" i="8"/>
  <c r="AB189" i="8" s="1"/>
  <c r="T190" i="8"/>
  <c r="AB191" i="8" s="1"/>
  <c r="T192" i="8"/>
  <c r="AB193" i="8" s="1"/>
  <c r="T194" i="8"/>
  <c r="AB195" i="8" s="1"/>
  <c r="R98" i="8"/>
  <c r="T97" i="8" s="1"/>
  <c r="AB98" i="8" s="1"/>
  <c r="B105" i="8"/>
  <c r="B109" i="8"/>
  <c r="B113" i="8"/>
  <c r="B127" i="8"/>
  <c r="B129" i="8"/>
  <c r="B138" i="8"/>
  <c r="B142" i="8"/>
  <c r="B147" i="8"/>
  <c r="B151" i="8"/>
  <c r="B179" i="8"/>
  <c r="B173" i="8"/>
  <c r="B169" i="8"/>
  <c r="B165" i="8"/>
  <c r="B161" i="8"/>
  <c r="D171" i="8"/>
  <c r="D167" i="8"/>
  <c r="B157" i="8"/>
  <c r="B158" i="8"/>
  <c r="C181" i="8"/>
  <c r="C184" i="8"/>
  <c r="C186" i="8"/>
  <c r="C188" i="8"/>
  <c r="C190" i="8"/>
  <c r="C192" i="8"/>
  <c r="C194" i="8"/>
  <c r="B100" i="8"/>
  <c r="B103" i="8"/>
  <c r="B104" i="8"/>
  <c r="B107" i="8"/>
  <c r="B111" i="8"/>
  <c r="B112" i="8"/>
  <c r="B115" i="8"/>
  <c r="B116" i="8"/>
  <c r="B119" i="8"/>
  <c r="B120" i="8"/>
  <c r="B123" i="8"/>
  <c r="B126" i="8"/>
  <c r="B132" i="8"/>
  <c r="B133" i="8"/>
  <c r="B134" i="8"/>
  <c r="B135" i="8"/>
  <c r="B136" i="8"/>
  <c r="B137" i="8"/>
  <c r="B140" i="8"/>
  <c r="B141" i="8"/>
  <c r="B144" i="8"/>
  <c r="B146" i="8"/>
  <c r="B149" i="8"/>
  <c r="B150" i="8"/>
  <c r="B153" i="8"/>
  <c r="B154" i="8"/>
  <c r="B155" i="8"/>
  <c r="B156" i="8"/>
  <c r="B159" i="8"/>
  <c r="B160" i="8"/>
  <c r="B163" i="8"/>
  <c r="B164" i="8"/>
  <c r="B167" i="8"/>
  <c r="B168" i="8"/>
  <c r="B171" i="8"/>
  <c r="B172" i="8"/>
  <c r="B175" i="8"/>
  <c r="B176" i="8"/>
  <c r="B177" i="8"/>
  <c r="B178" i="8"/>
  <c r="B181" i="8"/>
  <c r="B182" i="8"/>
  <c r="B184" i="8"/>
  <c r="B186" i="8"/>
  <c r="B187" i="8"/>
  <c r="B188" i="8"/>
  <c r="B189" i="8"/>
  <c r="B190" i="8"/>
  <c r="B191" i="8"/>
  <c r="B192" i="8"/>
  <c r="B193" i="8"/>
  <c r="B194" i="8"/>
  <c r="B195" i="8"/>
  <c r="B99" i="8"/>
  <c r="D100" i="8"/>
  <c r="D103" i="8"/>
  <c r="D104" i="8"/>
  <c r="D107" i="8"/>
  <c r="D111" i="8"/>
  <c r="D112" i="8"/>
  <c r="D115" i="8"/>
  <c r="D116" i="8"/>
  <c r="D119" i="8"/>
  <c r="D120" i="8"/>
  <c r="D123" i="8"/>
  <c r="D126" i="8"/>
  <c r="D132" i="8"/>
  <c r="D133" i="8"/>
  <c r="D134" i="8"/>
  <c r="D135" i="8"/>
  <c r="D136" i="8"/>
  <c r="D137" i="8"/>
  <c r="D140" i="8"/>
  <c r="D141" i="8"/>
  <c r="D144" i="8"/>
  <c r="D146" i="8"/>
  <c r="D149" i="8"/>
  <c r="D150" i="8"/>
  <c r="D153" i="8"/>
  <c r="D155" i="8"/>
  <c r="D156" i="8"/>
  <c r="D159" i="8"/>
  <c r="D160" i="8"/>
  <c r="D163" i="8"/>
  <c r="D164" i="8"/>
  <c r="D168" i="8"/>
  <c r="D172" i="8"/>
  <c r="D175" i="8"/>
  <c r="D176" i="8"/>
  <c r="D178" i="8"/>
  <c r="D181" i="8"/>
  <c r="D182" i="8"/>
  <c r="D184" i="8"/>
  <c r="D186" i="8"/>
  <c r="D188" i="8"/>
  <c r="D189" i="8"/>
  <c r="D190" i="8"/>
  <c r="D191" i="8"/>
  <c r="D192" i="8"/>
  <c r="D194" i="8"/>
  <c r="D195" i="8"/>
  <c r="D99" i="8"/>
  <c r="Z105" i="8" l="1"/>
  <c r="Z196" i="8" s="1"/>
  <c r="E24" i="8"/>
  <c r="G24" i="8" s="1"/>
  <c r="H24" i="8" s="1"/>
  <c r="J24" i="8" s="1"/>
  <c r="E47" i="8"/>
  <c r="G47" i="8" s="1"/>
  <c r="H47" i="8" s="1"/>
  <c r="J47" i="8" s="1"/>
  <c r="AB154" i="8"/>
  <c r="E46" i="8"/>
  <c r="G46" i="8" s="1"/>
  <c r="H46" i="8" s="1"/>
  <c r="J46" i="8" s="1"/>
  <c r="AB152" i="8"/>
  <c r="E45" i="8"/>
  <c r="G45" i="8" s="1"/>
  <c r="H45" i="8" s="1"/>
  <c r="J45" i="8" s="1"/>
  <c r="AB150" i="8"/>
  <c r="E44" i="8"/>
  <c r="G44" i="8" s="1"/>
  <c r="H44" i="8" s="1"/>
  <c r="J44" i="8" s="1"/>
  <c r="AB148" i="8"/>
  <c r="AB113" i="8"/>
  <c r="E28" i="8"/>
  <c r="G28" i="8" s="1"/>
  <c r="H28" i="8" s="1"/>
  <c r="J28" i="8" s="1"/>
  <c r="E18" i="8"/>
  <c r="E88" i="8" s="1"/>
  <c r="AB111" i="8"/>
  <c r="E27" i="8"/>
  <c r="G27" i="8" s="1"/>
  <c r="H27" i="8" s="1"/>
  <c r="J27" i="8" s="1"/>
  <c r="AB139" i="8"/>
  <c r="E40" i="8"/>
  <c r="G40" i="8" s="1"/>
  <c r="H40" i="8" s="1"/>
  <c r="J40" i="8" s="1"/>
  <c r="AB116" i="8"/>
  <c r="E29" i="8"/>
  <c r="G29" i="8" s="1"/>
  <c r="H29" i="8" s="1"/>
  <c r="J29" i="8" s="1"/>
  <c r="U127" i="8"/>
  <c r="G18" i="8" l="1"/>
  <c r="AB95" i="8"/>
  <c r="E23" i="8"/>
  <c r="G23" i="8" s="1"/>
  <c r="H23" i="8" s="1"/>
  <c r="J23" i="8" s="1"/>
  <c r="AB103" i="8"/>
  <c r="AB105" i="8"/>
  <c r="G80" i="8" l="1"/>
  <c r="H18" i="8"/>
  <c r="R46" i="8"/>
  <c r="E80" i="8"/>
  <c r="H80" i="8" l="1"/>
  <c r="J18" i="8"/>
  <c r="I83" i="8" l="1"/>
  <c r="I86" i="8" s="1"/>
  <c r="C68" i="8" l="1"/>
  <c r="B68" i="8"/>
  <c r="B185" i="8" s="1"/>
  <c r="A68" i="8"/>
  <c r="D185" i="8" s="1"/>
  <c r="R75" i="8" l="1"/>
  <c r="R76" i="8" l="1"/>
  <c r="S29" i="8" s="1"/>
  <c r="S30" i="8" l="1"/>
  <c r="R25" i="8"/>
  <c r="R26" i="8" s="1"/>
</calcChain>
</file>

<file path=xl/sharedStrings.xml><?xml version="1.0" encoding="utf-8"?>
<sst xmlns="http://schemas.openxmlformats.org/spreadsheetml/2006/main" count="390" uniqueCount="298">
  <si>
    <t>001</t>
  </si>
  <si>
    <t>E-00101</t>
  </si>
  <si>
    <t>SUELDOS PARA CARGOS FIJOS</t>
  </si>
  <si>
    <t>E-00301</t>
  </si>
  <si>
    <t>RETRIBUCION POR AÑOS SERVIDOS</t>
  </si>
  <si>
    <t>E-00302</t>
  </si>
  <si>
    <t>RESTRICCION AL EJERCICIO LIBERAL DE LA PROFESION</t>
  </si>
  <si>
    <t>E-00304</t>
  </si>
  <si>
    <t>SALARIO ESCOLAR</t>
  </si>
  <si>
    <t>E-00399</t>
  </si>
  <si>
    <t>OTROS INCENTIVOS SALARIALES</t>
  </si>
  <si>
    <t>E-00303</t>
  </si>
  <si>
    <t>DECIMOTERCER MES</t>
  </si>
  <si>
    <t>280</t>
  </si>
  <si>
    <t>CAJA COSTARRICENSE DE SEGURO SOCIAL. (CCSS) (CONTRIBUCION PATRONAL SEGURO DE SALUD, SEGUN LEY NO. 17 DEL 22 DE OCTUBRE DE 1943, LEY</t>
  </si>
  <si>
    <t>BANCO POPULAR Y DE DESARROLLO COMUNAL. (BPDC) (SEGUN LEY NO. 4351 DEL 11 DE JULIO DE 1969, LEY ORGANICA DEL B.P.D.C.).</t>
  </si>
  <si>
    <t>CAJA COSTARRICENSE DE SEGURO SOCIAL. (CCSS) (CONTRIBUCION PATRONAL SEGURO DE PENSIONES, SEGUN LEY NO. 17 DEL 22 DE OCTUBRE DE 1943, LEY</t>
  </si>
  <si>
    <t>CAJA COSTARRICENSE DE SEGURO SOCIAL. (CCSS) (APORTE PATRONAL AL REGIMEN DE PENSIONES, SEGUN LEY DE PROTECCION AL TRABAJADOR NO. 7983 DEL 16</t>
  </si>
  <si>
    <t>CAJA COSTARRICENSE DE SEGURO SOCIAL. (CCSS) (APORTE PATRONAL AL FONDO DE CAPITALIZACION LABORAL, SEGUN LEY DE PROTECCION AL TRABAJADOR</t>
  </si>
  <si>
    <t>E-10101</t>
  </si>
  <si>
    <t>ALQUILER DE EDIFICIOS, LOCALES Y TERRENOS</t>
  </si>
  <si>
    <t>E-10102</t>
  </si>
  <si>
    <t>ALQUILER DE MAQUINARIA, EQUIPO Y MOBILIARIO</t>
  </si>
  <si>
    <t>E-10103</t>
  </si>
  <si>
    <t>ALQUILER DE EQUIPO DE COMPUTO</t>
  </si>
  <si>
    <t>E-10104</t>
  </si>
  <si>
    <t>ALQUILER Y DERECHOS PARA TELECOMUNICACIONES</t>
  </si>
  <si>
    <t>E-10201</t>
  </si>
  <si>
    <t>SERVICIO DE AGUA Y ALCANTARILLADO</t>
  </si>
  <si>
    <t>E-10202</t>
  </si>
  <si>
    <t>SERVICIO DE ENERGIA ELECTRICA</t>
  </si>
  <si>
    <t>E-10204</t>
  </si>
  <si>
    <t>SERVICIO DE TELECOMUNICACIONES</t>
  </si>
  <si>
    <t>E-10307</t>
  </si>
  <si>
    <t>SERVICIOS DE TRANSFERENCIA ELECTRONICA DE INFORMA</t>
  </si>
  <si>
    <t>E-10499</t>
  </si>
  <si>
    <t>OTROS SERVICIOS DE GESTION Y APOYO</t>
  </si>
  <si>
    <t>E-10501</t>
  </si>
  <si>
    <t>TRANSPORTE DENTRO DEL PAIS</t>
  </si>
  <si>
    <t>E-10502</t>
  </si>
  <si>
    <t>VIATICOS DENTRO DEL PAIS</t>
  </si>
  <si>
    <t>E-10601</t>
  </si>
  <si>
    <t>SEGUROS</t>
  </si>
  <si>
    <t>E-10701</t>
  </si>
  <si>
    <t>ACTIVIDADES DE CAPACITACION</t>
  </si>
  <si>
    <t>E-10805</t>
  </si>
  <si>
    <t>MANT. Y REPARACION DE EQUIPO DE TRANSPORTE</t>
  </si>
  <si>
    <t>E-10808</t>
  </si>
  <si>
    <t>MANT. Y REP. DE EQUIPO DE COMPUTO Y SIST. DE INF.</t>
  </si>
  <si>
    <t>E-19905</t>
  </si>
  <si>
    <t>DEDUCIBLES</t>
  </si>
  <si>
    <t>E-20101</t>
  </si>
  <si>
    <t>COMBUSTIBLES Y LUBRICANTES</t>
  </si>
  <si>
    <t>E-20304</t>
  </si>
  <si>
    <t>MAT. Y PROD. ELECTRICOS, TELEFONICOS Y DE COMPUTO</t>
  </si>
  <si>
    <t>E-29901</t>
  </si>
  <si>
    <t>UTILES Y MATERIALES DE OFICINA Y COMPUTO</t>
  </si>
  <si>
    <t>E-29903</t>
  </si>
  <si>
    <t>PRODUCTOS DE PAPEL, CARTON E IMPRESOS</t>
  </si>
  <si>
    <t>CAJA COSTARRICENSE DE SEGURO SOCIAL. (CCSS) (CONTRIBUCION ESTATAL AL SEGURO DE PENSIONES, SEGUN LEY NO. 17 DEL 22 DE OCTUBRE DE 1943, LEY</t>
  </si>
  <si>
    <t>CAJA COSTARRICENSE DE SEGURO SOCIAL. (CCSS) (CONTRIBUCION ESTATAL AL SEGURO DE SALUD, SEGUN LEY NO. 17 DEL 22 DE OCTUBRE DE 1943, LEY</t>
  </si>
  <si>
    <t>E-60301</t>
  </si>
  <si>
    <t>PRESTACIONES LEGALES</t>
  </si>
  <si>
    <t>E-60399</t>
  </si>
  <si>
    <t>OTRAS PRESTACIONES</t>
  </si>
  <si>
    <t>E-59903</t>
  </si>
  <si>
    <t>BIENES INTANGIBLES</t>
  </si>
  <si>
    <t>E-00201</t>
  </si>
  <si>
    <t>E0040120081400</t>
  </si>
  <si>
    <t>E0040520081400</t>
  </si>
  <si>
    <t>E0050120081400</t>
  </si>
  <si>
    <t>E0050220081400</t>
  </si>
  <si>
    <t>E0050320081400</t>
  </si>
  <si>
    <t>E-10203</t>
  </si>
  <si>
    <t>SERVICIO DE CORREO</t>
  </si>
  <si>
    <t>E-10299</t>
  </si>
  <si>
    <t>OTROS SERVICIOS BASICOS</t>
  </si>
  <si>
    <t>E-10301</t>
  </si>
  <si>
    <t>INFORMACION</t>
  </si>
  <si>
    <t>E-10304</t>
  </si>
  <si>
    <t>TRANSPORTE DE BIENES</t>
  </si>
  <si>
    <t>E-10306</t>
  </si>
  <si>
    <t>COMIS. Y GASTOS POR SERV. FINANCIEROS Y COMERCIAL.</t>
  </si>
  <si>
    <t>E-10403</t>
  </si>
  <si>
    <t>SERVICIOS DE INGENIERIA Y ARQUITECTURA</t>
  </si>
  <si>
    <t>E-10406</t>
  </si>
  <si>
    <t>SERVICIOS GENERALES</t>
  </si>
  <si>
    <t>E-10503</t>
  </si>
  <si>
    <t>TRANSPORTE EN EL EXTERIOR</t>
  </si>
  <si>
    <t>E-10504</t>
  </si>
  <si>
    <t>VIATICOS EN EL EXTERIOR</t>
  </si>
  <si>
    <t>E-10806</t>
  </si>
  <si>
    <t>MANT. Y REPARACION DE EQUIPO DE COMUNICAC.</t>
  </si>
  <si>
    <t>E-10807</t>
  </si>
  <si>
    <t>MANT. Y REPARACION DE EQUIPO Y MOBILIARIO DE OFIC.</t>
  </si>
  <si>
    <t>E-10899</t>
  </si>
  <si>
    <t>MANTENIMIENTO Y REPARACION DE OTROS EQUIPOS</t>
  </si>
  <si>
    <t>E-10999</t>
  </si>
  <si>
    <t>OTROS IMPUESTOS</t>
  </si>
  <si>
    <t>E-19902</t>
  </si>
  <si>
    <t>INTERESES MORATORIOS Y MULTAS</t>
  </si>
  <si>
    <t>E-20102</t>
  </si>
  <si>
    <t>PRODUCTOS FARMACEUTICOS Y MEDICINALES</t>
  </si>
  <si>
    <t>E-20104</t>
  </si>
  <si>
    <t>TINTAS, PINTURAS Y DILUYENTES</t>
  </si>
  <si>
    <t>E-20199</t>
  </si>
  <si>
    <t>OTROS PRODUCTOS QUIMICOS Y CONEXOS</t>
  </si>
  <si>
    <t>E-20203</t>
  </si>
  <si>
    <t>ALIMENTOS Y BEBIDAS</t>
  </si>
  <si>
    <t>E-20401</t>
  </si>
  <si>
    <t>HERRAMIENTAS E INSTRUMENTOS</t>
  </si>
  <si>
    <t>E-20402</t>
  </si>
  <si>
    <t>REPUESTOS Y ACCESORIOS</t>
  </si>
  <si>
    <t>E-29902</t>
  </si>
  <si>
    <t>UTILES Y MATERIALES MEDICO, HOSPITALARIO Y DE INV.</t>
  </si>
  <si>
    <t>E-29905</t>
  </si>
  <si>
    <t>UTILES Y MATERIALES DE LIMPIEZA</t>
  </si>
  <si>
    <t>E-50103</t>
  </si>
  <si>
    <t>EQUIPO DE COMUNICACION</t>
  </si>
  <si>
    <t>E-50104</t>
  </si>
  <si>
    <t>EQUIPO Y MOBILIARIO DE OFICINA</t>
  </si>
  <si>
    <t>E-50199</t>
  </si>
  <si>
    <t>MAQUINARIA, EQUIPO Y MOBILIARIO DIVERSO</t>
  </si>
  <si>
    <t>E6010320081400</t>
  </si>
  <si>
    <t>E6010320281400</t>
  </si>
  <si>
    <t>E-60601</t>
  </si>
  <si>
    <t>INDEMNIZACIONES</t>
  </si>
  <si>
    <t>E7010220381400</t>
  </si>
  <si>
    <t>FONDO NACIONAL DE FINANCIAMIENTO FORESTAL (FONAFIFO) (COMPRA DE CREDITOS DE CARBONO FORESTAL, EN CUMPLIMIENTO DE LA ESTRATEGIA</t>
  </si>
  <si>
    <t>E7010620081400</t>
  </si>
  <si>
    <t>BANCO HIPOTECARIO DE LA VIVIENDA (BANHVI). (PARA FINANCIAR PROGRAMAS PUBLICOS DIRIGIDOS A LA DOTACION DE VIVIENDA DIGNA, SEGUN LEY NO. 8683</t>
  </si>
  <si>
    <t>PROGRAMA 811</t>
  </si>
  <si>
    <t>PROGRAMA 814</t>
  </si>
  <si>
    <t xml:space="preserve">TIEMPO EXTRAORDIANRIO </t>
  </si>
  <si>
    <t>TITULO 215</t>
  </si>
  <si>
    <t>PROGRAMA  815</t>
  </si>
  <si>
    <t>PARTIDA 0</t>
  </si>
  <si>
    <t>PARTIDA 1</t>
  </si>
  <si>
    <t>PARTIDA 5</t>
  </si>
  <si>
    <t>PARTIDA 6</t>
  </si>
  <si>
    <t>PARTIDA 7</t>
  </si>
  <si>
    <t>PARTIDA 2</t>
  </si>
  <si>
    <t>N/A</t>
  </si>
  <si>
    <t xml:space="preserve">DISTRIBUCIÓN  DEL GASTO POR PROGRAMA </t>
  </si>
  <si>
    <t xml:space="preserve">Sub Partida </t>
  </si>
  <si>
    <t>F.F.</t>
  </si>
  <si>
    <t xml:space="preserve">Nombre de la sub partida </t>
  </si>
  <si>
    <t xml:space="preserve">Alquiler de Edificio </t>
  </si>
  <si>
    <t xml:space="preserve">SIGMA </t>
  </si>
  <si>
    <t>Programa 811</t>
  </si>
  <si>
    <t>Programa 814</t>
  </si>
  <si>
    <t>Programa 815</t>
  </si>
  <si>
    <t xml:space="preserve">DISTRIBUCIÓN DEL GASTO </t>
  </si>
  <si>
    <t>Tipo de Cambio Según Hacienda</t>
  </si>
  <si>
    <t xml:space="preserve">Total Anual </t>
  </si>
  <si>
    <t xml:space="preserve">Total Mensual a pagar en  Colones </t>
  </si>
  <si>
    <t xml:space="preserve">Número de Contrato </t>
  </si>
  <si>
    <t>Proveedor</t>
  </si>
  <si>
    <t xml:space="preserve">Alquiler de Equipo y Computo </t>
  </si>
  <si>
    <t>Componentes El Orbe S.A.</t>
  </si>
  <si>
    <t>Monto total a pagar en la sub partida</t>
  </si>
  <si>
    <t>Pago Mensual  en Dolares</t>
  </si>
  <si>
    <t xml:space="preserve">RACSA </t>
  </si>
  <si>
    <t xml:space="preserve">TELEFONIA </t>
  </si>
  <si>
    <t xml:space="preserve">Cantidad de Meses O Servicios a Pagar </t>
  </si>
  <si>
    <t>Total Titulo 215</t>
  </si>
  <si>
    <t xml:space="preserve">revista logica tropical </t>
  </si>
  <si>
    <t xml:space="preserve">Certificado Carbono </t>
  </si>
  <si>
    <t xml:space="preserve">Fumigación </t>
  </si>
  <si>
    <t xml:space="preserve">GPS </t>
  </si>
  <si>
    <t xml:space="preserve">Calibración de Basculas </t>
  </si>
  <si>
    <t>RTV</t>
  </si>
  <si>
    <t xml:space="preserve">Alquiler Multifuncionales </t>
  </si>
  <si>
    <t>Correos de Costa Rica</t>
  </si>
  <si>
    <t xml:space="preserve">Riesgo de Trabajo </t>
  </si>
  <si>
    <t xml:space="preserve">Seguro Automotor </t>
  </si>
  <si>
    <t xml:space="preserve">Equipo Electrónico </t>
  </si>
  <si>
    <t xml:space="preserve">Calibración de Esfignomanometros </t>
  </si>
  <si>
    <t xml:space="preserve">Marchamos </t>
  </si>
  <si>
    <t>Mantenimiento Plotters</t>
  </si>
  <si>
    <t>UPS</t>
  </si>
  <si>
    <t xml:space="preserve">Pago de Resoluciones Adminstrativas por Reajuestes de Precio o diferencial cambiario </t>
  </si>
  <si>
    <t xml:space="preserve">Soporte Equipo Computo </t>
  </si>
  <si>
    <t>Gel Lubricante, alcohol fricciones, alochol en gel y bloqueador solar</t>
  </si>
  <si>
    <t xml:space="preserve">Tonner y otros </t>
  </si>
  <si>
    <t>Gluconato de Clorhexidina</t>
  </si>
  <si>
    <t>E-29906</t>
  </si>
  <si>
    <t xml:space="preserve">UTILES Y MATERIALES DE RESGUARDO Y SEGURIDAD </t>
  </si>
  <si>
    <t xml:space="preserve">Enrutador CISCO </t>
  </si>
  <si>
    <t>E-50105</t>
  </si>
  <si>
    <t>EQUIPO DE COMPUTO</t>
  </si>
  <si>
    <t>Discos de Almacenamiento</t>
  </si>
  <si>
    <t xml:space="preserve">materiales de Limpieza </t>
  </si>
  <si>
    <t xml:space="preserve">Termometro Digital </t>
  </si>
  <si>
    <t xml:space="preserve">Extintor de Halatron </t>
  </si>
  <si>
    <t>Compra de Café y Galletas }</t>
  </si>
  <si>
    <t>Discos Duros y Bombillos</t>
  </si>
  <si>
    <t xml:space="preserve">Mantenimineto de Vehiculos </t>
  </si>
  <si>
    <t xml:space="preserve">Deducibles </t>
  </si>
  <si>
    <t>Intereses Moratorios</t>
  </si>
  <si>
    <t xml:space="preserve">Materiales de Oficina </t>
  </si>
  <si>
    <t>Hosting Pagina WEB</t>
  </si>
  <si>
    <t xml:space="preserve">Agua </t>
  </si>
  <si>
    <t>Enegía Electrica</t>
  </si>
  <si>
    <t xml:space="preserve">Recolección Bioinfectocontagiosos </t>
  </si>
  <si>
    <t xml:space="preserve">Publicaciones </t>
  </si>
  <si>
    <t>Trasnporte de Bienes</t>
  </si>
  <si>
    <t>Comisión Quick Pass</t>
  </si>
  <si>
    <t>Servicio de Limpieza</t>
  </si>
  <si>
    <t xml:space="preserve">Utiles Médicos </t>
  </si>
  <si>
    <t xml:space="preserve">Licencias </t>
  </si>
  <si>
    <t xml:space="preserve">Suscripcion de Periodicos y Compras </t>
  </si>
  <si>
    <t xml:space="preserve">Total Remuneraciones </t>
  </si>
  <si>
    <t xml:space="preserve">Total Servicios </t>
  </si>
  <si>
    <t xml:space="preserve">Total Materiales y Suministros </t>
  </si>
  <si>
    <t xml:space="preserve">Total Bienes Duraderos </t>
  </si>
  <si>
    <t xml:space="preserve">Total Transferencias Corrientes </t>
  </si>
  <si>
    <t xml:space="preserve">Total Transferenicas de Capital </t>
  </si>
  <si>
    <t>E7010620181400</t>
  </si>
  <si>
    <t>BANCO HIPOTECARIO DE LA VIVIENDA  (BANHVI) PARA LA ASIGMACION DE BONO COLECTIVO</t>
  </si>
  <si>
    <t>Total Remuneraciones con partida 6</t>
  </si>
  <si>
    <t>Total Transferencias Corrientes sin CCSS</t>
  </si>
  <si>
    <t xml:space="preserve">Techo Presupuestario </t>
  </si>
  <si>
    <t>Monto a asignar al BAHNVI</t>
  </si>
  <si>
    <t>Saldo MIVAH</t>
  </si>
  <si>
    <t>Saldo a Asignar MIVHA</t>
  </si>
  <si>
    <t>Monto requerido por el MIVAH</t>
  </si>
  <si>
    <t xml:space="preserve">Diferencia entre techo presupuestario y MIVAH </t>
  </si>
  <si>
    <t xml:space="preserve">                                           </t>
  </si>
  <si>
    <t xml:space="preserve">Monto RP con Extras </t>
  </si>
  <si>
    <t xml:space="preserve">Total Prestaciones </t>
  </si>
  <si>
    <t>Mantenimiento del Ploterr</t>
  </si>
  <si>
    <t xml:space="preserve">Servicio de Limpieza </t>
  </si>
  <si>
    <t xml:space="preserve">Alquiler de Equipo de Computo </t>
  </si>
  <si>
    <t>Extras</t>
  </si>
  <si>
    <t>Agua</t>
  </si>
  <si>
    <t xml:space="preserve">Eneergía Electrica </t>
  </si>
  <si>
    <t>ICE</t>
  </si>
  <si>
    <t>Información</t>
  </si>
  <si>
    <t>Servicio de Ingenieria (Carbono neutralidad)</t>
  </si>
  <si>
    <t>GPS</t>
  </si>
  <si>
    <t>Viaticos</t>
  </si>
  <si>
    <t>Seguros</t>
  </si>
  <si>
    <t>Capacitación</t>
  </si>
  <si>
    <t>BACO</t>
  </si>
  <si>
    <t xml:space="preserve">Combustible </t>
  </si>
  <si>
    <t>Productos Farmaceuticos</t>
  </si>
  <si>
    <t>Tintas pinturas y Dilyentes</t>
  </si>
  <si>
    <t xml:space="preserve">Alimentos y Bebidas </t>
  </si>
  <si>
    <t xml:space="preserve">Discos Duros </t>
  </si>
  <si>
    <t>Baterias de Servidores HP</t>
  </si>
  <si>
    <t>Materiales de oficina</t>
  </si>
  <si>
    <t xml:space="preserve">Utiles y Materiales Medicos </t>
  </si>
  <si>
    <t xml:space="preserve">Suscripción de Periodicos </t>
  </si>
  <si>
    <t xml:space="preserve">Materiales de Limpieza </t>
  </si>
  <si>
    <t xml:space="preserve">En rutador CISCO </t>
  </si>
  <si>
    <t xml:space="preserve">Discos Duros NAS </t>
  </si>
  <si>
    <t>fonafifo</t>
  </si>
  <si>
    <t>indemnizaciones</t>
  </si>
  <si>
    <t>otras prestaciones</t>
  </si>
  <si>
    <t>Servicio de Transferencia Electronica</t>
  </si>
  <si>
    <t>MONTO REQUERIDO</t>
  </si>
  <si>
    <t xml:space="preserve">LIMITE </t>
  </si>
  <si>
    <t xml:space="preserve">EXTRALIMITE </t>
  </si>
  <si>
    <t xml:space="preserve">JUSTIFICACION </t>
  </si>
  <si>
    <t>PROPUESTA DE DISTRIBUCIÓN PARA EL ANTE PROYECTO 2021</t>
  </si>
  <si>
    <t xml:space="preserve">TOTAL LIMITE </t>
  </si>
  <si>
    <t xml:space="preserve">TOTAL EXTRALIMITE </t>
  </si>
  <si>
    <t>TOTAL RP</t>
  </si>
  <si>
    <t>TOTAL PRESUPUESTO MIVAH 2021</t>
  </si>
  <si>
    <t xml:space="preserve">SIN TRANSFERENCIAS </t>
  </si>
  <si>
    <t>Este monto equivale al contrato de 5 meses de servicio de hospedaje (hosting) del sitio web del MIVAH, del servicio de correo institucional, así como el acceso a internet. Prescindir de estos fondos, provocaría que las labores de todos los funcionarios se vean interrumpidas.</t>
  </si>
  <si>
    <t xml:space="preserve">Si no se aprueban dichos recursos, no se podrán adquir los insumos médicos requeridos de acuerdo con las Normas para la Habilitación de Establecimientos de Consulta Externa General y de Especialidades Médicas, Decreto N.º 30699-S, publicado en La Gaceta N°183 del 24 de setiembre del 2002, específicamente en inciso 4.2.3.2.17 y en el Reglamento del Sistema de Atención en Salud de Medicina de Empresa publicado en La Gaceta N°4 del 07/01/2016 Alcance 3, según lo establecido en dicho reglamento artículo 14 inciso d. </t>
  </si>
  <si>
    <t xml:space="preserve">El enrutador actual que soporta el PRI de telefonía de MIVAH, tiene más de 10 años
y la tecnología de comunicaciones ha evolucionado en este mismo periodo. En
particular, en la actualidad los servicios de comunicaciones, incluidos los de
telefonía han migrado del uso del cable de cobre a la fibra óptica. Desde finales del
2018 el ICE, proveedor de los servicios de telefonía para el MIVAH, señalaron al
Departamento de Servicios Generales la necesidad de reemplazar la línea de cobre
por una de fibra, puesto que las instalaciones en cobre están dejando de ser
soportadas. Para ello, los recursos se requieren para adquirir un enrutador CISCO para soportar el
cambio de tecnología de la línea de comunicaciones que permite la telefonía de la
institución (fibra a SIP-TRUNK) para mantener la línea de telefonía institucional y
realizar el reemplazo del PRI E1 a servicios en fibra ya que esta migración no se ha
podido realizar por cuanto ninguno de nuestros enrutadores lo soporta e incluso
están llegando a su fecha de fin de vida por obsolescencia tecnológica. </t>
  </si>
  <si>
    <t>Este monto equivale a 5 meses de servicio de agua potable. Como dicho servicio es indispensable para cubrir las necesidades de higiene y limpieza, tanto para los funcionarios, visitantes y para la limpieza del edificio, por lo que sino se cuenta con dicho recurso hídrico, se corre el riesgo de brotes de enfermedades.</t>
  </si>
  <si>
    <t>Al no contar con estos recursos,el Ministerio no podría cumplir con la publicación del Artículo 2 de la Ley 9354, que corresponde a la reforma Ley General de Arrendamintos Urbanos y Suburbanos (inquilinato) sobre la promoción de la información en cuanto al ajuste máximo aplicable al arrendamiento de la vivienda, la cual debe hacerse por medio de una comunicación masiva escrita en tres medios de comunicación de mayor circulación nacional de prensa, una vez al mes.</t>
  </si>
  <si>
    <t>Este monto equivale a un contrato vigente de limpieza de 5 meses. Si el MIVAH no cuenta con este servicio indispensable, no se podrá contar con las condiciones sanitarias y de higiene adecuadas dentro de las instalaciones físicas del Ministerio, lo cual provocaría no cumplir con los lineamientos de higiene que exige el Ministerio de Salud.</t>
  </si>
  <si>
    <t>Al no contar con este monto, el Ministerio no podría cubrir los costos de RITEVE de la flotilla vehicular de la Institución, por lo que dichos vehículos no podrían transitar por la vía pública y por ende entorpece las labores de todos los funcionarios. Además, el MIVAH se vería obligado a cancelar el contrato correspondiente al servicio del posicionamiento satelital (GPS), el cual se utiliza para el control y localización de la flotilla vehicular del MIVAH.</t>
  </si>
  <si>
    <t>Todo patrono tiene la obligación de asegurar y pagar las primas que se originen del Seguro Obligatorio de Riesgos del Trabajo, para brindar protección a los trabajadores por accidentes y enfermedades de trabajo regulados en el Título IV del Código de Trabajo. Sin estos recursos, el MIVAH no podría cumplir según lo establecido en dicho Código.</t>
  </si>
  <si>
    <t>Este monto equivale a un contrato de cinco meses de servicio para el mantenimeto de las ups y continuidad de la plataforma tecnológica del MIVAH, cuyos servicios permiten dar cumplimiento a los apartados 1.2 Gestión de la calidad, 1.3 Gestión de riesgos y 1.4 Gestión de la seguridad de la información de las Normas técnicas para la gestión y el control de las tecnologías de información, N-2-2007-CO-DFOE estipulado por la Contraloría General de la República, las cuales son de acatamiento obligatorio para todas las instituciones públicas, lo anterior según contrato 2017CD-000030-0007600001.</t>
  </si>
  <si>
    <t>El MIVAH al no contar con estos recursos, no podrá dar contenido económico a los pagos por concepto de deducibles ante el Instituto Nacional de Seguros (INS), con base en el contrato marco de la póliza de seguros de vehículos, sobre las colisiones y accidentes de tránsito de la flotilla vehicular del MIVAH.</t>
  </si>
  <si>
    <t xml:space="preserve">Al no contar con estos recursos, se daría una afectación total de los servidores del MIVAH que fueron adquiridos en el año 2008, ya que los discos duros se encuentran agotados en su espacio y se requiere incrementar la capacidad de almacenamiento institucional mejorando su desempeño, tanto para facilitar el uso de carpetas compartidas como para el uso de las aplicaciones y sistemas de información institucional. Debemos señalar que todo espacio de almacenamiento, para poder operar requiere que se disponga de al menos un 30% de espacio libre, mismo que es utilizado por el sistema operativo para trabajar temporalmente los
archivos y mantener en caché alguna información. </t>
  </si>
  <si>
    <t xml:space="preserve">Estos recursos son necesarios, pues en todo equipo de cómputo tipo servidor además de la batería de célula fotocélula en la placa Intel de su procesador; que permite mantener el reloj de tiempo real en servidor, además existe también una batería especial para el sistema de almacenamiento propio de servidor, que caso de picos de la corriente permite mantener los datos que están en la memoria del servidor para ser guardados en el almacenamiento fijo y no se pierda información en algún fallo de la energía eléctrica. Cabe señalar que la vida útil de estas baterías ya fue superada. Por tal razón, los equipos podrían dejar de operar cuando se pierde su hora y también por fallos o picos voltaje puede hacer que se pierda información y la configuración almacenada en el servidor, así como el reloj del sistema. Esto provoca que el servidor deje de
operar. </t>
  </si>
  <si>
    <t>Debido a los cambios que se han generado con el traslado de los procesos físicos a procesos tecnológicos, se requiere los recursos para la compra de instrumentos de almacenamiento que sean idóneos para proteger la información que produce la Institución, pues actualmente no se cuentan con dichos instrumentos.</t>
  </si>
  <si>
    <t>Los recursos son indispensables para la actualización de softwares AutoDesk,licencias de acceso a los servidores Windows Server CAL+SA, Audinet, Jaws y su llave física, PRTG y KIWI, assurance de las licencias Microsoft, ArcGisla y la adquisición de la licencia de Powtoon, para evitar el vencimiento de dichas licencias, pues aunque puedan seguir usándose, rápidamente serían inadecuados para la plataforma de los equipos del MVAH, lo cual obligaría nuevas compras de las licencias que implicarían un mayor costo. Aunado a lo anterior, se dejaría sin capacidad funcional a todos los ingenieros, arquitectos y personal administrativo del MIVAH, incluyendo los despachos ministeriales, así mismo se provocaría que el sistema geográfico institucional y el prototipo del Centro de Intelgencia Territorial dejen de funcionar.</t>
  </si>
  <si>
    <t xml:space="preserve">Este monto equivale a cuatro meses de alquiler del edificio en donde se encuentra ubicado  el Ministerio, que corresponde a un contrato vigente, que concluye en el año 2024, en el cual se alberga el total de funcionarios que laboran en la Institución, así como el desarrollo de las reuniones internas y actividades propias del quehacer del Ministerio. Lo anterior a pesar del ahorro logrado  de: ¢31.000.000,00 en la prorroga del contrato. </t>
  </si>
  <si>
    <t>Este monto equivale a cinco meses de alquiler en equipo de cómputo y multifuncionales. Al no contar con dichos equipos que sean propios, los funcionarios del MIVAH no podrían desempeñar sus labores a cabalidad, lo cual afectaría el alcance de los objetivos institucionales. Este equipo actualmente está distribuido para atender la totalidad de los funcionarios de la Institución.</t>
  </si>
  <si>
    <t>Este monto equivale a 5 meses de servicio de energía eléctrica. Dicho servicio es indispensable para que todos los funcionarios puedan desempeñar sus labores, pues los equpos de cómputo y multifuncionales dependen de este servicio. Además, el MIVAH cuenta con dos vehículos híbridos  los cuales fueron donados por el Gobierno de Japón, los mismos requieren ser recargados, pues se utilizan para salidas dentro de la Gran Área Metropolitana.</t>
  </si>
  <si>
    <t>Este monto equivale  a cinco meses de servicio de la línea telefónica institucional que provee el ICE y la conexión en fibra óptica para uso de los sistemas informáticos del MIVAH. El no contar con estos recursos, las labores de todos los funciones se verán interrumpidas, puesto que no podrán comunicarse por esta vía  ni acceder a los sistemas informáticos que posee la Institución.</t>
  </si>
  <si>
    <t>Gran parte de las labores que desarrolla el Ministerio, consisten en la atención de zonas ubicadas fuera de la Gran Área Metropolitana. Prescindir de dichos recursos, imposibilita la atención de dichas zonas, que son parte de las obligaciones que tiene el Ministerio con la población. Así como el apoyo brindado al sector de construcción ante las inspecciones que se realizaran ante la Pandemia COVID-19,</t>
  </si>
  <si>
    <t>El MIVAH posee una flotilla vehicular, que por los años de uso que tienen, necesitan  para su buen funcionamiento, un mantenimiento preventivo y correctivo según lo estipulado en el contrato vigente 2018LA-000002-00076000001, por lo que es indispensable para respaldar el uso de los vehiculos y por ello la protección de la vida de cada uno los funcionarios que hacen uso de esta flotilla vehicular.</t>
  </si>
  <si>
    <t>Estos recursos son indispensables para cumplir a cabalidad con las giras programadas,  las visitas de campo requeridas según el accionar del MIVAH, y de los Depachos Ministeriales,  para la atención de la población más necesitada en el país, así como la atención de emergencias que debe atender la Institución.</t>
  </si>
  <si>
    <t>Estos recursos son necesarios para la compra de los suministros y materiales que son indispensables para el buen funcionamiento de impresoras y los plotters,  siendo estos ultimos insdispensables para sistema de  datos  georeferenciados, los cuales son relacionados en la  la impresión de mapas, gráficos y tablas, que por sus características, no pueden ser impresos en las multifuncionales. Además, los Despachos y Direcciones tienen impresoras que son indispensables para el trabajo que los Jerarcas realizan.</t>
  </si>
  <si>
    <t>Sin estos recursos, el MIVAH no podrá comprar la cantidad de papel mínima necesaria para las impresoras, así como para uso de los equipos multifuncionales alquilados (según Convenio Marco 2018LN-000005-0009100001), además de la adquisición de otros productos de papel, los cuales son insumos necesarios para mantener en orden y en excelente conservación, la documentación que se genera dentro de la institución, así como para el complimiento de las tareas diarias que realizan todos los funcionarios.</t>
  </si>
  <si>
    <t>Los recursos planificados son  indispensables para suplir las necesidades y requerimientos básicos  previstos, debido que para el año 2020 y en acatamietno a las Directrices de rebajo emitidas no fue factible adquirir lo previsto según plan de compras, según convenio marco 2018LN-000004-0009100001</t>
  </si>
  <si>
    <t>Los recursos consisten en la previsión presupuestaria, para hacer frente a la erogación por este concepto durante el ejercicio económico del 2021 de dos profesionales  por un monto de: ¢20.000.000,00 , quienes manifestaron  concluir su relación laboral con el MIVAH en el 2021 para hacer uso al derecho de su pensión por el Régimen de Invalidez – Vejez y Muerte de la Caja Costarricense de Seguro Social. De igual manera, de conformidad con los alcances de la Circular CIR-TN-012-2019 de fecha 06/12/2019, por medio de la cual se instruye para que a partir del 01/01/2020 se incorpore en los cálculos para el pago de Prestaciones Legales mediante Resolución Administrativa a personas funcionarias que concluyen su relación laboral con la Institución, los rubros correspondientes a “Salario Escolar” y “Aguinaldo”, por tal razón se hace necesario dar a esta subpartida el suficiente contenido presupuestario.</t>
  </si>
  <si>
    <t>Sin estos recursos, la proyeción con base en el comportamiento de los tres años anteriores,   se prevé insuficiente para  el pago de incapacidades de los funcionarios del Ministerio, por concepto de enfermedad y maternidad, así como por riesgos laborales.</t>
  </si>
  <si>
    <t>El MIVAH  cuenta con un contrato marco  vigente  2018LN-000008-0009100001,  el cual trasciende el periodo presupuestario,lo anterior  en apego a la directriz DGABCA-0001-2020 con fecha 03 de febrero del 2020, dicho contrato no contempla loa suministros de limpieza, por lo que dichos recursos son indispensables para que el personal del Ministerio tenga las condiciones sanitarias y de higiene adecuadas, lo cual toma mayor relevancia con el tema de la pandemia. Cabe señalar que estos productos seran adquiridos mediante, el convenio marco 2019LN-000005-0009100001.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</si>
</sst>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164" formatCode="_(&quot;₡&quot;* #,##0_);_(&quot;₡&quot;* \(#,##0\);_(&quot;₡&quot;* &quot;-&quot;_);_(@_)"/>
    <numFmt numFmtId="165" formatCode="&quot;₡&quot;#,##0"/>
    <numFmt numFmtId="166" formatCode="[$$-540A]#,##0"/>
  </numFmts>
  <fonts count="19" x14ac:knownFonts="1">
    <font>
      <sz val="10"/>
      <name val="Arial"/>
    </font>
    <font>
      <sz val="10"/>
      <name val="Arial"/>
      <family val="2"/>
    </font>
    <font>
      <sz val="16"/>
      <name val="Arial"/>
      <family val="2"/>
    </font>
    <font>
      <b/>
      <sz val="10"/>
      <name val="Arial"/>
      <family val="2"/>
    </font>
    <font>
      <b/>
      <sz val="14"/>
      <name val="Arial"/>
      <family val="2"/>
    </font>
    <font>
      <sz val="10"/>
      <color rgb="FFFF0000"/>
      <name val="Arial"/>
      <family val="2"/>
    </font>
    <font>
      <b/>
      <sz val="16"/>
      <name val="Arial"/>
      <family val="2"/>
    </font>
    <font>
      <b/>
      <sz val="12"/>
      <name val="Arial"/>
      <family val="2"/>
    </font>
    <font>
      <sz val="10"/>
      <color theme="1"/>
      <name val="Arial"/>
      <family val="2"/>
    </font>
    <font>
      <b/>
      <sz val="10"/>
      <color theme="1"/>
      <name val="Arial"/>
      <family val="2"/>
    </font>
    <font>
      <sz val="8"/>
      <name val="Arial"/>
      <family val="2"/>
    </font>
    <font>
      <sz val="10"/>
      <color theme="7"/>
      <name val="Arial"/>
      <family val="2"/>
    </font>
    <font>
      <b/>
      <sz val="10"/>
      <color theme="7"/>
      <name val="Arial"/>
      <family val="2"/>
    </font>
    <font>
      <sz val="10"/>
      <color rgb="FF0070C0"/>
      <name val="Arial"/>
      <family val="2"/>
    </font>
    <font>
      <sz val="10"/>
      <color theme="5" tint="-0.249977111117893"/>
      <name val="Arial"/>
      <family val="2"/>
    </font>
    <font>
      <sz val="16"/>
      <color rgb="FF0070C0"/>
      <name val="Arial"/>
      <family val="2"/>
    </font>
    <font>
      <sz val="16"/>
      <color rgb="FFFF0000"/>
      <name val="Arial"/>
      <family val="2"/>
    </font>
    <font>
      <sz val="16"/>
      <color theme="1"/>
      <name val="Arial"/>
      <family val="2"/>
    </font>
    <font>
      <b/>
      <sz val="12"/>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
      <patternFill patternType="solid">
        <fgColor rgb="FF0070C0"/>
        <bgColor indexed="64"/>
      </patternFill>
    </fill>
    <fill>
      <patternFill patternType="solid">
        <fgColor rgb="FFFF0000"/>
        <bgColor indexed="64"/>
      </patternFill>
    </fill>
  </fills>
  <borders count="6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s>
  <cellStyleXfs count="1">
    <xf numFmtId="0" fontId="0" fillId="0" borderId="0"/>
  </cellStyleXfs>
  <cellXfs count="311">
    <xf numFmtId="0" fontId="0" fillId="0" borderId="0" xfId="0" applyAlignment="1">
      <alignment vertical="top"/>
    </xf>
    <xf numFmtId="0" fontId="0" fillId="0" borderId="0" xfId="0" applyBorder="1" applyAlignment="1">
      <alignment vertical="top"/>
    </xf>
    <xf numFmtId="0" fontId="0" fillId="0" borderId="0" xfId="0" applyBorder="1" applyAlignment="1">
      <alignment horizontal="center" vertical="center"/>
    </xf>
    <xf numFmtId="4" fontId="0" fillId="0" borderId="0" xfId="0" applyNumberFormat="1" applyBorder="1" applyAlignment="1">
      <alignment horizontal="center" vertical="center"/>
    </xf>
    <xf numFmtId="0" fontId="1" fillId="0" borderId="0" xfId="0" applyFont="1" applyBorder="1" applyAlignment="1">
      <alignment vertical="top"/>
    </xf>
    <xf numFmtId="49" fontId="1" fillId="0" borderId="0" xfId="0" applyNumberFormat="1" applyFont="1" applyBorder="1" applyAlignment="1">
      <alignment vertical="top"/>
    </xf>
    <xf numFmtId="0" fontId="5" fillId="0" borderId="0" xfId="0" applyFont="1" applyBorder="1" applyAlignment="1">
      <alignment vertical="top"/>
    </xf>
    <xf numFmtId="0" fontId="7" fillId="0" borderId="0" xfId="0" applyFont="1" applyAlignment="1">
      <alignment horizontal="center" vertical="center"/>
    </xf>
    <xf numFmtId="0" fontId="0" fillId="0" borderId="1" xfId="0" applyBorder="1" applyAlignment="1">
      <alignment vertical="top"/>
    </xf>
    <xf numFmtId="4" fontId="0" fillId="0" borderId="1" xfId="0" applyNumberFormat="1" applyBorder="1" applyAlignment="1">
      <alignment horizontal="center" vertical="center"/>
    </xf>
    <xf numFmtId="0" fontId="0" fillId="0" borderId="3" xfId="0" applyBorder="1" applyAlignment="1">
      <alignment vertical="top"/>
    </xf>
    <xf numFmtId="4" fontId="0" fillId="0" borderId="2" xfId="0" applyNumberFormat="1" applyBorder="1" applyAlignment="1">
      <alignment horizontal="center" vertical="center"/>
    </xf>
    <xf numFmtId="4" fontId="1" fillId="0" borderId="1" xfId="0" applyNumberFormat="1" applyFont="1" applyBorder="1" applyAlignment="1">
      <alignment horizontal="center" vertical="center"/>
    </xf>
    <xf numFmtId="164" fontId="0" fillId="0" borderId="0" xfId="0" applyNumberFormat="1" applyAlignment="1">
      <alignment vertical="top"/>
    </xf>
    <xf numFmtId="164" fontId="3" fillId="0" borderId="0" xfId="0" applyNumberFormat="1" applyFont="1" applyAlignment="1">
      <alignment vertical="top"/>
    </xf>
    <xf numFmtId="9" fontId="0" fillId="0" borderId="0" xfId="0" applyNumberFormat="1" applyAlignment="1">
      <alignment vertical="top"/>
    </xf>
    <xf numFmtId="164" fontId="1" fillId="0" borderId="0" xfId="0" applyNumberFormat="1" applyFont="1" applyAlignment="1">
      <alignment vertical="top"/>
    </xf>
    <xf numFmtId="0" fontId="7" fillId="0" borderId="2" xfId="0" applyFont="1" applyBorder="1" applyAlignment="1">
      <alignment horizontal="center" vertical="center"/>
    </xf>
    <xf numFmtId="4" fontId="0" fillId="0" borderId="0" xfId="0" applyNumberFormat="1" applyAlignment="1">
      <alignment vertical="top"/>
    </xf>
    <xf numFmtId="0" fontId="0" fillId="0" borderId="0" xfId="0" applyAlignment="1">
      <alignment horizontal="center" vertical="center"/>
    </xf>
    <xf numFmtId="0" fontId="4" fillId="0" borderId="0" xfId="0" applyFont="1" applyBorder="1" applyAlignment="1">
      <alignment horizontal="center" vertical="top" wrapText="1"/>
    </xf>
    <xf numFmtId="0" fontId="7" fillId="0" borderId="4" xfId="0" applyFont="1" applyBorder="1" applyAlignment="1">
      <alignment horizontal="center" vertical="center"/>
    </xf>
    <xf numFmtId="165" fontId="0" fillId="0" borderId="3" xfId="0" applyNumberFormat="1" applyBorder="1" applyAlignment="1">
      <alignment horizontal="center" vertical="center" wrapText="1"/>
    </xf>
    <xf numFmtId="0" fontId="1" fillId="0" borderId="3" xfId="0" applyFont="1" applyBorder="1" applyAlignment="1">
      <alignment horizontal="center" vertical="center" wrapText="1"/>
    </xf>
    <xf numFmtId="166" fontId="0" fillId="0" borderId="3" xfId="0" applyNumberFormat="1" applyBorder="1" applyAlignment="1">
      <alignment horizontal="center" vertical="center" wrapText="1"/>
    </xf>
    <xf numFmtId="165" fontId="0" fillId="0" borderId="3" xfId="0" applyNumberFormat="1" applyBorder="1" applyAlignment="1">
      <alignment vertical="center" wrapText="1"/>
    </xf>
    <xf numFmtId="166" fontId="0" fillId="0" borderId="8" xfId="0" applyNumberFormat="1" applyBorder="1" applyAlignment="1">
      <alignment horizontal="center" vertical="center" wrapText="1"/>
    </xf>
    <xf numFmtId="165" fontId="0" fillId="0" borderId="8" xfId="0" applyNumberFormat="1" applyBorder="1" applyAlignment="1">
      <alignment horizontal="center" vertical="center" wrapText="1"/>
    </xf>
    <xf numFmtId="0" fontId="0" fillId="0" borderId="8" xfId="0" applyBorder="1" applyAlignment="1">
      <alignment vertical="top"/>
    </xf>
    <xf numFmtId="0" fontId="1" fillId="0" borderId="8" xfId="0" applyFont="1" applyBorder="1" applyAlignment="1">
      <alignment horizontal="center" vertical="center" wrapText="1"/>
    </xf>
    <xf numFmtId="0" fontId="0" fillId="0" borderId="8" xfId="0" applyBorder="1" applyAlignment="1">
      <alignment horizontal="center" vertical="center"/>
    </xf>
    <xf numFmtId="165" fontId="0" fillId="0" borderId="8" xfId="0" applyNumberFormat="1" applyBorder="1" applyAlignment="1">
      <alignment horizontal="center" vertical="center"/>
    </xf>
    <xf numFmtId="165" fontId="0" fillId="0" borderId="3" xfId="0" applyNumberFormat="1" applyBorder="1" applyAlignment="1">
      <alignment horizontal="center" vertical="center" wrapText="1"/>
    </xf>
    <xf numFmtId="165" fontId="0" fillId="0" borderId="0" xfId="0" applyNumberForma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165" fontId="0" fillId="0" borderId="0" xfId="0" applyNumberFormat="1" applyBorder="1" applyAlignment="1">
      <alignment horizontal="center" vertical="center" wrapText="1"/>
    </xf>
    <xf numFmtId="165" fontId="0" fillId="0" borderId="3" xfId="0" applyNumberFormat="1" applyBorder="1" applyAlignment="1">
      <alignment horizontal="center" vertical="center" wrapText="1"/>
    </xf>
    <xf numFmtId="165" fontId="1" fillId="0" borderId="0"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166" fontId="0" fillId="0" borderId="0" xfId="0" applyNumberFormat="1" applyBorder="1" applyAlignment="1">
      <alignment horizontal="center" vertical="center" wrapText="1"/>
    </xf>
    <xf numFmtId="165" fontId="1" fillId="0" borderId="5" xfId="0" applyNumberFormat="1" applyFont="1" applyBorder="1" applyAlignment="1">
      <alignment horizontal="center" vertical="center" wrapText="1"/>
    </xf>
    <xf numFmtId="165" fontId="0" fillId="0" borderId="3" xfId="0" applyNumberFormat="1" applyBorder="1" applyAlignment="1">
      <alignment horizontal="center" vertical="center" wrapText="1"/>
    </xf>
    <xf numFmtId="0" fontId="0" fillId="0" borderId="3" xfId="0" applyBorder="1" applyAlignment="1">
      <alignment horizontal="center" vertical="center"/>
    </xf>
    <xf numFmtId="166" fontId="0" fillId="0" borderId="0" xfId="0" applyNumberFormat="1" applyBorder="1" applyAlignment="1">
      <alignment vertical="center" wrapText="1"/>
    </xf>
    <xf numFmtId="166" fontId="0" fillId="0" borderId="3" xfId="0" applyNumberFormat="1" applyBorder="1" applyAlignment="1">
      <alignment vertical="center" wrapText="1"/>
    </xf>
    <xf numFmtId="165" fontId="0" fillId="0" borderId="5" xfId="0" applyNumberFormat="1" applyBorder="1" applyAlignment="1">
      <alignment vertical="center" wrapText="1"/>
    </xf>
    <xf numFmtId="165" fontId="0" fillId="0" borderId="0" xfId="0" applyNumberFormat="1" applyBorder="1" applyAlignment="1">
      <alignment vertical="center" wrapText="1"/>
    </xf>
    <xf numFmtId="166" fontId="0" fillId="0" borderId="8" xfId="0" applyNumberFormat="1" applyBorder="1" applyAlignment="1">
      <alignment vertical="center" wrapText="1"/>
    </xf>
    <xf numFmtId="165" fontId="0" fillId="0" borderId="8" xfId="0" applyNumberFormat="1" applyBorder="1" applyAlignment="1">
      <alignment vertical="center" wrapText="1"/>
    </xf>
    <xf numFmtId="165" fontId="1" fillId="0" borderId="8" xfId="0" applyNumberFormat="1" applyFont="1" applyBorder="1" applyAlignment="1">
      <alignment vertical="center" wrapText="1"/>
    </xf>
    <xf numFmtId="165" fontId="1" fillId="0" borderId="8" xfId="0" applyNumberFormat="1" applyFont="1" applyBorder="1" applyAlignment="1">
      <alignment horizontal="center" vertical="center" wrapText="1"/>
    </xf>
    <xf numFmtId="165" fontId="0" fillId="0" borderId="0" xfId="0" applyNumberFormat="1" applyAlignment="1">
      <alignment vertical="top"/>
    </xf>
    <xf numFmtId="165" fontId="1" fillId="0" borderId="3" xfId="0" applyNumberFormat="1" applyFont="1" applyBorder="1" applyAlignment="1">
      <alignment vertical="center" wrapText="1"/>
    </xf>
    <xf numFmtId="165" fontId="0" fillId="0" borderId="5" xfId="0" applyNumberFormat="1" applyBorder="1" applyAlignment="1">
      <alignment horizontal="center" vertical="center" wrapText="1"/>
    </xf>
    <xf numFmtId="165" fontId="0" fillId="0" borderId="3" xfId="0" applyNumberForma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165" fontId="0" fillId="0" borderId="0" xfId="0" applyNumberFormat="1" applyBorder="1" applyAlignment="1">
      <alignment horizontal="center" vertical="center" wrapText="1"/>
    </xf>
    <xf numFmtId="166" fontId="0" fillId="0" borderId="0" xfId="0" applyNumberFormat="1" applyBorder="1" applyAlignment="1">
      <alignment horizontal="center" vertical="center" wrapText="1"/>
    </xf>
    <xf numFmtId="166" fontId="0" fillId="0" borderId="3" xfId="0" applyNumberFormat="1" applyBorder="1" applyAlignment="1">
      <alignment horizontal="center" vertical="center" wrapText="1"/>
    </xf>
    <xf numFmtId="166" fontId="0" fillId="0" borderId="5" xfId="0" applyNumberFormat="1" applyBorder="1" applyAlignment="1">
      <alignment horizontal="center" vertical="center" wrapText="1"/>
    </xf>
    <xf numFmtId="0" fontId="1" fillId="0" borderId="0" xfId="0" applyFont="1" applyBorder="1" applyAlignment="1">
      <alignment horizontal="center" vertical="center" wrapText="1"/>
    </xf>
    <xf numFmtId="166" fontId="0" fillId="0" borderId="7" xfId="0" applyNumberFormat="1" applyBorder="1" applyAlignment="1">
      <alignment vertical="center" wrapText="1"/>
    </xf>
    <xf numFmtId="165" fontId="1" fillId="0" borderId="5" xfId="0" applyNumberFormat="1" applyFont="1" applyBorder="1" applyAlignment="1">
      <alignment vertical="center" wrapText="1"/>
    </xf>
    <xf numFmtId="165" fontId="1" fillId="0" borderId="0" xfId="0" applyNumberFormat="1" applyFont="1" applyBorder="1" applyAlignment="1">
      <alignment vertical="center" wrapText="1"/>
    </xf>
    <xf numFmtId="0" fontId="0" fillId="0" borderId="6" xfId="0" applyBorder="1" applyAlignment="1">
      <alignment vertical="top"/>
    </xf>
    <xf numFmtId="165" fontId="0" fillId="0" borderId="5" xfId="0" applyNumberFormat="1" applyBorder="1" applyAlignment="1">
      <alignment horizontal="center" vertical="center" wrapText="1"/>
    </xf>
    <xf numFmtId="165" fontId="1" fillId="0" borderId="5" xfId="0" applyNumberFormat="1" applyFont="1" applyBorder="1" applyAlignment="1">
      <alignment horizontal="center" vertical="center" wrapText="1"/>
    </xf>
    <xf numFmtId="165" fontId="1" fillId="0" borderId="3" xfId="0" applyNumberFormat="1"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165" fontId="0" fillId="0" borderId="0" xfId="0" applyNumberFormat="1" applyBorder="1" applyAlignment="1">
      <alignment horizontal="center" vertical="center" wrapText="1"/>
    </xf>
    <xf numFmtId="165" fontId="1" fillId="0" borderId="0" xfId="0" applyNumberFormat="1" applyFont="1" applyBorder="1" applyAlignment="1">
      <alignment horizontal="center" vertical="center" wrapText="1"/>
    </xf>
    <xf numFmtId="166" fontId="0" fillId="0" borderId="0" xfId="0" applyNumberFormat="1" applyBorder="1" applyAlignment="1">
      <alignment horizontal="center" vertical="center" wrapText="1"/>
    </xf>
    <xf numFmtId="0" fontId="1" fillId="0" borderId="0" xfId="0" applyFont="1" applyBorder="1" applyAlignment="1">
      <alignment horizontal="center" vertical="center" wrapText="1"/>
    </xf>
    <xf numFmtId="165" fontId="0" fillId="0" borderId="3" xfId="0" applyNumberFormat="1" applyBorder="1" applyAlignment="1">
      <alignment horizontal="center" vertical="center"/>
    </xf>
    <xf numFmtId="0" fontId="7" fillId="2" borderId="32" xfId="0" applyFont="1" applyFill="1" applyBorder="1" applyAlignment="1">
      <alignment horizontal="center" vertical="center"/>
    </xf>
    <xf numFmtId="0" fontId="7" fillId="3" borderId="33" xfId="0" applyFont="1" applyFill="1" applyBorder="1" applyAlignment="1">
      <alignment horizontal="center" vertical="center"/>
    </xf>
    <xf numFmtId="0" fontId="7" fillId="4" borderId="34" xfId="0" applyFont="1" applyFill="1" applyBorder="1" applyAlignment="1">
      <alignment horizontal="center" vertical="center"/>
    </xf>
    <xf numFmtId="0" fontId="0" fillId="5" borderId="13" xfId="0" applyFill="1" applyBorder="1" applyAlignment="1">
      <alignment vertical="center" wrapText="1"/>
    </xf>
    <xf numFmtId="0" fontId="0" fillId="5" borderId="14" xfId="0" applyFill="1" applyBorder="1" applyAlignment="1">
      <alignment vertical="center" wrapText="1"/>
    </xf>
    <xf numFmtId="165" fontId="3" fillId="0" borderId="0" xfId="0" applyNumberFormat="1" applyFont="1" applyBorder="1" applyAlignment="1">
      <alignment horizontal="center" vertical="center" wrapText="1"/>
    </xf>
    <xf numFmtId="166" fontId="0" fillId="0" borderId="0" xfId="0" applyNumberFormat="1" applyBorder="1" applyAlignment="1">
      <alignment horizontal="center" vertical="center" wrapText="1"/>
    </xf>
    <xf numFmtId="165" fontId="0" fillId="0" borderId="0" xfId="0" applyNumberFormat="1" applyBorder="1" applyAlignment="1">
      <alignment horizontal="center" vertical="center" wrapText="1"/>
    </xf>
    <xf numFmtId="0" fontId="0" fillId="2" borderId="13" xfId="0" applyFill="1" applyBorder="1" applyAlignment="1">
      <alignment horizontal="center" vertical="center" wrapText="1"/>
    </xf>
    <xf numFmtId="165" fontId="0" fillId="3" borderId="7" xfId="0" applyNumberFormat="1" applyFill="1" applyBorder="1" applyAlignment="1">
      <alignment horizontal="center" vertical="center" wrapText="1"/>
    </xf>
    <xf numFmtId="0" fontId="0" fillId="4" borderId="18" xfId="0" applyFill="1" applyBorder="1" applyAlignment="1">
      <alignment horizontal="center" vertical="top" wrapText="1"/>
    </xf>
    <xf numFmtId="165" fontId="1"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29" xfId="0" applyFont="1" applyBorder="1" applyAlignment="1">
      <alignment horizontal="center" vertical="center" wrapText="1"/>
    </xf>
    <xf numFmtId="0" fontId="0" fillId="6" borderId="0" xfId="0" applyFill="1" applyBorder="1" applyAlignment="1">
      <alignment horizontal="center" vertical="center" wrapText="1"/>
    </xf>
    <xf numFmtId="4" fontId="0" fillId="0" borderId="6" xfId="0" applyNumberFormat="1" applyBorder="1" applyAlignment="1">
      <alignment horizontal="center" vertical="center"/>
    </xf>
    <xf numFmtId="165" fontId="5" fillId="0" borderId="3" xfId="0" applyNumberFormat="1" applyFont="1" applyBorder="1" applyAlignment="1">
      <alignment horizontal="center" vertical="center" wrapText="1"/>
    </xf>
    <xf numFmtId="4" fontId="0" fillId="0" borderId="0" xfId="0" applyNumberFormat="1" applyAlignment="1">
      <alignment horizontal="center" vertical="center"/>
    </xf>
    <xf numFmtId="165" fontId="5" fillId="0" borderId="0" xfId="0" applyNumberFormat="1" applyFont="1" applyBorder="1" applyAlignment="1">
      <alignment horizontal="center" vertical="center" wrapText="1"/>
    </xf>
    <xf numFmtId="165" fontId="11" fillId="0" borderId="8" xfId="0" applyNumberFormat="1" applyFont="1" applyBorder="1" applyAlignment="1">
      <alignment horizontal="center" vertical="center"/>
    </xf>
    <xf numFmtId="165" fontId="11" fillId="0" borderId="0" xfId="0" applyNumberFormat="1" applyFont="1" applyBorder="1" applyAlignment="1">
      <alignment horizontal="center" vertical="center" wrapText="1"/>
    </xf>
    <xf numFmtId="165" fontId="11" fillId="0" borderId="8" xfId="0" applyNumberFormat="1" applyFont="1" applyBorder="1" applyAlignment="1">
      <alignment horizontal="center" vertical="center" wrapText="1"/>
    </xf>
    <xf numFmtId="165" fontId="11" fillId="0" borderId="3" xfId="0" applyNumberFormat="1" applyFont="1" applyBorder="1" applyAlignment="1">
      <alignment horizontal="center" vertical="center" wrapText="1"/>
    </xf>
    <xf numFmtId="165" fontId="11" fillId="0" borderId="5" xfId="0" applyNumberFormat="1" applyFont="1" applyBorder="1" applyAlignment="1">
      <alignment horizontal="center" vertical="center" wrapText="1"/>
    </xf>
    <xf numFmtId="4" fontId="13" fillId="0" borderId="0" xfId="0" applyNumberFormat="1" applyFont="1" applyBorder="1" applyAlignment="1">
      <alignment horizontal="center" vertical="center"/>
    </xf>
    <xf numFmtId="0" fontId="1" fillId="0" borderId="0" xfId="0" applyFont="1" applyAlignment="1">
      <alignment vertical="top"/>
    </xf>
    <xf numFmtId="4" fontId="1" fillId="0" borderId="0" xfId="0" applyNumberFormat="1" applyFont="1" applyAlignment="1">
      <alignment vertical="top"/>
    </xf>
    <xf numFmtId="4" fontId="0" fillId="0" borderId="3" xfId="0" applyNumberFormat="1" applyBorder="1" applyAlignment="1">
      <alignment horizontal="center" vertical="center"/>
    </xf>
    <xf numFmtId="4" fontId="0" fillId="0" borderId="29" xfId="0" applyNumberFormat="1" applyBorder="1" applyAlignment="1">
      <alignment horizontal="center" vertical="center"/>
    </xf>
    <xf numFmtId="4"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165" fontId="0" fillId="0" borderId="5" xfId="0" applyNumberFormat="1" applyBorder="1" applyAlignment="1">
      <alignment horizontal="center" vertical="center" wrapText="1"/>
    </xf>
    <xf numFmtId="165" fontId="0" fillId="0" borderId="3" xfId="0" applyNumberForma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0" fillId="0" borderId="3" xfId="0" applyBorder="1" applyAlignment="1">
      <alignment horizontal="center" vertical="center"/>
    </xf>
    <xf numFmtId="165" fontId="3" fillId="0" borderId="0" xfId="0" applyNumberFormat="1" applyFont="1" applyBorder="1" applyAlignment="1">
      <alignment horizontal="center" vertical="center" wrapText="1"/>
    </xf>
    <xf numFmtId="165" fontId="0" fillId="0" borderId="0" xfId="0" applyNumberForma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vertical="center" wrapText="1"/>
    </xf>
    <xf numFmtId="0" fontId="1" fillId="0" borderId="0"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165" fontId="0" fillId="0" borderId="0" xfId="0" applyNumberFormat="1" applyBorder="1" applyAlignment="1">
      <alignment horizontal="center" vertical="center" wrapText="1"/>
    </xf>
    <xf numFmtId="165" fontId="0" fillId="0" borderId="3" xfId="0" applyNumberFormat="1" applyBorder="1" applyAlignment="1">
      <alignment horizontal="center" vertical="center" wrapText="1"/>
    </xf>
    <xf numFmtId="0" fontId="1" fillId="0" borderId="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165" fontId="0" fillId="0" borderId="5" xfId="0" applyNumberFormat="1" applyBorder="1" applyAlignment="1">
      <alignment horizontal="center" vertical="center" wrapText="1"/>
    </xf>
    <xf numFmtId="4" fontId="3" fillId="0" borderId="0" xfId="0" applyNumberFormat="1" applyFont="1" applyAlignment="1">
      <alignment vertical="top"/>
    </xf>
    <xf numFmtId="3" fontId="0" fillId="0" borderId="0" xfId="0" applyNumberFormat="1" applyAlignment="1">
      <alignment vertical="top"/>
    </xf>
    <xf numFmtId="4" fontId="5" fillId="0" borderId="1" xfId="0" applyNumberFormat="1" applyFont="1" applyBorder="1" applyAlignment="1">
      <alignment horizontal="center" vertical="center"/>
    </xf>
    <xf numFmtId="3" fontId="3" fillId="0" borderId="0" xfId="0" applyNumberFormat="1" applyFont="1" applyAlignment="1">
      <alignment vertical="top"/>
    </xf>
    <xf numFmtId="0" fontId="0" fillId="0" borderId="38" xfId="0" applyBorder="1" applyAlignment="1">
      <alignment vertical="top"/>
    </xf>
    <xf numFmtId="165" fontId="0" fillId="0" borderId="39" xfId="0" applyNumberFormat="1" applyBorder="1" applyAlignment="1">
      <alignment vertical="top"/>
    </xf>
    <xf numFmtId="0" fontId="0" fillId="0" borderId="39" xfId="0" applyBorder="1" applyAlignment="1">
      <alignment vertical="top"/>
    </xf>
    <xf numFmtId="3" fontId="0" fillId="0" borderId="39" xfId="0" applyNumberFormat="1" applyBorder="1" applyAlignment="1">
      <alignment vertical="top"/>
    </xf>
    <xf numFmtId="0" fontId="0" fillId="0" borderId="40" xfId="0" applyBorder="1" applyAlignment="1">
      <alignment vertical="top"/>
    </xf>
    <xf numFmtId="4" fontId="1" fillId="0" borderId="0" xfId="0" applyNumberFormat="1" applyFont="1" applyBorder="1" applyAlignment="1">
      <alignment horizontal="center" vertical="center"/>
    </xf>
    <xf numFmtId="0" fontId="7" fillId="0" borderId="0" xfId="0" applyFont="1" applyBorder="1" applyAlignment="1">
      <alignment horizontal="center" vertical="center"/>
    </xf>
    <xf numFmtId="4" fontId="0" fillId="0" borderId="0" xfId="0" applyNumberFormat="1" applyBorder="1" applyAlignment="1">
      <alignment horizontal="center" vertical="center" wrapText="1"/>
    </xf>
    <xf numFmtId="0" fontId="7" fillId="0" borderId="37" xfId="0" applyFont="1" applyBorder="1" applyAlignment="1">
      <alignment horizontal="center" vertical="center"/>
    </xf>
    <xf numFmtId="4" fontId="3" fillId="0" borderId="0" xfId="0" applyNumberFormat="1" applyFont="1" applyBorder="1" applyAlignment="1">
      <alignment horizontal="center" vertical="center"/>
    </xf>
    <xf numFmtId="0" fontId="0" fillId="0" borderId="4" xfId="0" applyBorder="1" applyAlignment="1">
      <alignment vertical="top"/>
    </xf>
    <xf numFmtId="0" fontId="1" fillId="0" borderId="61" xfId="0" applyFont="1" applyBorder="1" applyAlignment="1">
      <alignment vertical="top"/>
    </xf>
    <xf numFmtId="0" fontId="5" fillId="0" borderId="3" xfId="0" applyFont="1" applyBorder="1" applyAlignment="1">
      <alignment horizontal="left" vertical="top"/>
    </xf>
    <xf numFmtId="4" fontId="0" fillId="0" borderId="28" xfId="0" applyNumberFormat="1" applyBorder="1" applyAlignment="1">
      <alignment horizontal="center" vertical="center"/>
    </xf>
    <xf numFmtId="0" fontId="7" fillId="0" borderId="8" xfId="0" applyFont="1" applyBorder="1" applyAlignment="1">
      <alignment horizontal="center" vertical="center"/>
    </xf>
    <xf numFmtId="4" fontId="0" fillId="0" borderId="4" xfId="0" applyNumberFormat="1" applyBorder="1" applyAlignment="1">
      <alignment horizontal="center" vertical="center"/>
    </xf>
    <xf numFmtId="4" fontId="0" fillId="0" borderId="7" xfId="0" applyNumberFormat="1" applyBorder="1" applyAlignment="1">
      <alignment horizontal="center" vertical="center"/>
    </xf>
    <xf numFmtId="4" fontId="0" fillId="0" borderId="60" xfId="0" applyNumberFormat="1" applyBorder="1" applyAlignment="1">
      <alignment horizontal="center" vertical="center"/>
    </xf>
    <xf numFmtId="4" fontId="5" fillId="0" borderId="2" xfId="0" applyNumberFormat="1" applyFont="1" applyBorder="1" applyAlignment="1">
      <alignment horizontal="center" vertical="center"/>
    </xf>
    <xf numFmtId="4" fontId="5" fillId="0" borderId="27" xfId="0" applyNumberFormat="1" applyFont="1" applyBorder="1" applyAlignment="1">
      <alignment horizontal="center" vertical="center"/>
    </xf>
    <xf numFmtId="0" fontId="7" fillId="0" borderId="3" xfId="0" applyFont="1" applyBorder="1" applyAlignment="1">
      <alignment horizontal="center" vertical="center"/>
    </xf>
    <xf numFmtId="4" fontId="13" fillId="0" borderId="6" xfId="0" applyNumberFormat="1" applyFont="1" applyBorder="1" applyAlignment="1">
      <alignment horizontal="center" vertical="center"/>
    </xf>
    <xf numFmtId="4" fontId="13" fillId="0" borderId="1" xfId="0" applyNumberFormat="1" applyFont="1" applyBorder="1" applyAlignment="1">
      <alignment horizontal="center" vertical="center"/>
    </xf>
    <xf numFmtId="4" fontId="13" fillId="0" borderId="2" xfId="0" applyNumberFormat="1" applyFont="1" applyBorder="1" applyAlignment="1">
      <alignment horizontal="center" vertical="center"/>
    </xf>
    <xf numFmtId="0" fontId="1" fillId="0" borderId="0" xfId="0" applyFont="1" applyAlignment="1">
      <alignment horizontal="right" vertical="top"/>
    </xf>
    <xf numFmtId="4" fontId="14" fillId="0" borderId="3" xfId="0" applyNumberFormat="1" applyFont="1" applyBorder="1" applyAlignment="1">
      <alignment horizontal="center" vertical="center"/>
    </xf>
    <xf numFmtId="4" fontId="0" fillId="0" borderId="44" xfId="0" applyNumberFormat="1" applyBorder="1" applyAlignment="1">
      <alignment horizontal="center" vertical="center"/>
    </xf>
    <xf numFmtId="4" fontId="11" fillId="0" borderId="44" xfId="0" applyNumberFormat="1" applyFont="1" applyBorder="1" applyAlignment="1">
      <alignment horizontal="center" vertical="center"/>
    </xf>
    <xf numFmtId="4" fontId="13" fillId="0" borderId="65" xfId="0" applyNumberFormat="1" applyFont="1" applyBorder="1" applyAlignment="1">
      <alignment horizontal="center" vertical="center"/>
    </xf>
    <xf numFmtId="4" fontId="5" fillId="0" borderId="65" xfId="0" applyNumberFormat="1" applyFont="1" applyBorder="1" applyAlignment="1">
      <alignment horizontal="center" vertical="center"/>
    </xf>
    <xf numFmtId="4" fontId="2" fillId="0" borderId="0" xfId="0" applyNumberFormat="1" applyFont="1" applyAlignment="1">
      <alignment vertical="top"/>
    </xf>
    <xf numFmtId="0" fontId="2" fillId="0" borderId="0" xfId="0" applyFont="1" applyAlignment="1">
      <alignment vertical="top"/>
    </xf>
    <xf numFmtId="4" fontId="6" fillId="0" borderId="0" xfId="0" applyNumberFormat="1" applyFont="1" applyAlignment="1">
      <alignment horizontal="left" vertical="top"/>
    </xf>
    <xf numFmtId="0" fontId="6" fillId="0" borderId="0" xfId="0" applyFont="1" applyAlignment="1">
      <alignment vertical="top"/>
    </xf>
    <xf numFmtId="165" fontId="2" fillId="0" borderId="0" xfId="0" applyNumberFormat="1" applyFont="1" applyAlignment="1">
      <alignment vertical="top"/>
    </xf>
    <xf numFmtId="44" fontId="15" fillId="0" borderId="0" xfId="0" applyNumberFormat="1" applyFont="1" applyBorder="1" applyAlignment="1">
      <alignment horizontal="left" vertical="top"/>
    </xf>
    <xf numFmtId="44" fontId="16" fillId="0" borderId="0" xfId="0" applyNumberFormat="1" applyFont="1" applyBorder="1" applyAlignment="1">
      <alignment horizontal="left" vertical="top"/>
    </xf>
    <xf numFmtId="44" fontId="17" fillId="0" borderId="31" xfId="0" applyNumberFormat="1" applyFont="1" applyBorder="1" applyAlignment="1">
      <alignment horizontal="left" vertical="top"/>
    </xf>
    <xf numFmtId="0" fontId="0" fillId="0" borderId="5" xfId="0"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4" fontId="1" fillId="0" borderId="18" xfId="0" applyNumberFormat="1" applyFont="1" applyBorder="1" applyAlignment="1">
      <alignment vertical="center" wrapText="1"/>
    </xf>
    <xf numFmtId="4" fontId="1" fillId="0" borderId="8" xfId="0" applyNumberFormat="1" applyFont="1" applyBorder="1" applyAlignment="1">
      <alignment vertical="center" wrapText="1"/>
    </xf>
    <xf numFmtId="4" fontId="1" fillId="0" borderId="62" xfId="0" applyNumberFormat="1" applyFont="1" applyBorder="1" applyAlignment="1">
      <alignment vertical="center" wrapText="1"/>
    </xf>
    <xf numFmtId="4" fontId="0" fillId="0" borderId="18" xfId="0" applyNumberFormat="1" applyBorder="1" applyAlignment="1">
      <alignment vertical="center" wrapText="1"/>
    </xf>
    <xf numFmtId="4" fontId="0" fillId="0" borderId="8" xfId="0" applyNumberFormat="1" applyBorder="1" applyAlignment="1">
      <alignment vertical="center" wrapText="1"/>
    </xf>
    <xf numFmtId="4" fontId="0" fillId="0" borderId="62" xfId="0" applyNumberFormat="1" applyBorder="1" applyAlignment="1">
      <alignment vertical="center" wrapText="1"/>
    </xf>
    <xf numFmtId="4" fontId="0" fillId="0" borderId="18" xfId="0" applyNumberFormat="1" applyBorder="1" applyAlignment="1">
      <alignment vertical="center"/>
    </xf>
    <xf numFmtId="4" fontId="0" fillId="0" borderId="8" xfId="0" applyNumberFormat="1" applyBorder="1" applyAlignment="1">
      <alignment vertical="center"/>
    </xf>
    <xf numFmtId="4" fontId="0" fillId="0" borderId="62" xfId="0" applyNumberFormat="1" applyBorder="1" applyAlignment="1">
      <alignment vertical="center"/>
    </xf>
    <xf numFmtId="4" fontId="1" fillId="0" borderId="7" xfId="0" applyNumberFormat="1" applyFont="1" applyBorder="1" applyAlignment="1">
      <alignment vertical="center" wrapText="1"/>
    </xf>
    <xf numFmtId="0" fontId="0" fillId="0" borderId="60" xfId="0" applyBorder="1" applyAlignment="1">
      <alignment horizontal="center" vertical="center"/>
    </xf>
    <xf numFmtId="0" fontId="0" fillId="0" borderId="4" xfId="0" applyBorder="1" applyAlignment="1">
      <alignment horizontal="center" vertical="center"/>
    </xf>
    <xf numFmtId="0" fontId="0" fillId="0" borderId="61" xfId="0" applyBorder="1" applyAlignment="1">
      <alignment horizontal="center" vertical="center"/>
    </xf>
    <xf numFmtId="0" fontId="0" fillId="0" borderId="18" xfId="0" applyBorder="1" applyAlignment="1">
      <alignment horizontal="center" vertical="center"/>
    </xf>
    <xf numFmtId="0" fontId="1" fillId="0" borderId="3" xfId="0" applyFont="1" applyBorder="1" applyAlignment="1">
      <alignment horizontal="center" vertical="center"/>
    </xf>
    <xf numFmtId="0" fontId="0" fillId="0" borderId="64" xfId="0" applyBorder="1" applyAlignment="1">
      <alignment horizontal="center" vertical="center"/>
    </xf>
    <xf numFmtId="0" fontId="0" fillId="0" borderId="2" xfId="0"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7" xfId="0" applyBorder="1" applyAlignment="1">
      <alignment horizontal="center" vertical="center"/>
    </xf>
    <xf numFmtId="0" fontId="5" fillId="0" borderId="0" xfId="0" applyFont="1" applyBorder="1" applyAlignment="1">
      <alignment horizontal="center" vertical="center"/>
    </xf>
    <xf numFmtId="0" fontId="8" fillId="0" borderId="3" xfId="0" applyFont="1" applyBorder="1" applyAlignment="1">
      <alignment horizontal="center" vertical="center"/>
    </xf>
    <xf numFmtId="0" fontId="0" fillId="0" borderId="31" xfId="0" applyBorder="1" applyAlignment="1">
      <alignment horizontal="center" vertical="center"/>
    </xf>
    <xf numFmtId="0" fontId="5" fillId="0" borderId="31" xfId="0" applyFont="1" applyBorder="1" applyAlignment="1">
      <alignment horizontal="center" vertical="center"/>
    </xf>
    <xf numFmtId="0" fontId="18" fillId="7" borderId="3" xfId="0" applyFont="1" applyFill="1" applyBorder="1" applyAlignment="1">
      <alignment horizontal="center" vertical="center"/>
    </xf>
    <xf numFmtId="0" fontId="7" fillId="8" borderId="3" xfId="0" applyFont="1" applyFill="1" applyBorder="1" applyAlignment="1">
      <alignment horizontal="center" vertical="center"/>
    </xf>
    <xf numFmtId="0" fontId="1" fillId="0" borderId="8" xfId="0" applyFont="1" applyBorder="1" applyAlignment="1">
      <alignment horizontal="left" vertical="center" wrapText="1"/>
    </xf>
    <xf numFmtId="0" fontId="0" fillId="0" borderId="8" xfId="0" applyBorder="1" applyAlignment="1">
      <alignment horizontal="left" vertical="center" wrapText="1"/>
    </xf>
    <xf numFmtId="0" fontId="0" fillId="0" borderId="62" xfId="0" applyBorder="1" applyAlignment="1">
      <alignment horizontal="left" vertical="center" wrapText="1"/>
    </xf>
    <xf numFmtId="4" fontId="1" fillId="0" borderId="0" xfId="0" applyNumberFormat="1" applyFont="1" applyBorder="1" applyAlignment="1">
      <alignment horizontal="center" vertical="center" wrapText="1"/>
    </xf>
    <xf numFmtId="0" fontId="4" fillId="0" borderId="5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59" xfId="0" applyFont="1" applyBorder="1" applyAlignment="1">
      <alignment horizontal="center" vertical="center" wrapText="1"/>
    </xf>
    <xf numFmtId="0" fontId="1" fillId="0" borderId="62" xfId="0" applyFont="1" applyBorder="1" applyAlignment="1">
      <alignment horizontal="left" vertical="center" wrapText="1"/>
    </xf>
    <xf numFmtId="4" fontId="0" fillId="0" borderId="18" xfId="0" applyNumberFormat="1" applyBorder="1" applyAlignment="1">
      <alignment horizontal="center" vertical="center" wrapText="1"/>
    </xf>
    <xf numFmtId="4" fontId="0" fillId="0" borderId="8" xfId="0" applyNumberFormat="1" applyBorder="1" applyAlignment="1">
      <alignment horizontal="center" vertical="center" wrapText="1"/>
    </xf>
    <xf numFmtId="4" fontId="0" fillId="0" borderId="62" xfId="0" applyNumberFormat="1" applyBorder="1" applyAlignment="1">
      <alignment horizontal="center" vertical="center" wrapText="1"/>
    </xf>
    <xf numFmtId="4" fontId="1" fillId="0" borderId="0" xfId="0" applyNumberFormat="1" applyFont="1" applyAlignment="1">
      <alignment horizontal="center" vertical="top" wrapText="1"/>
    </xf>
    <xf numFmtId="4" fontId="6" fillId="0" borderId="0" xfId="0" applyNumberFormat="1" applyFont="1" applyBorder="1" applyAlignment="1">
      <alignment horizontal="right" vertical="top" wrapText="1"/>
    </xf>
    <xf numFmtId="0" fontId="6" fillId="0" borderId="31" xfId="0" applyFont="1" applyBorder="1" applyAlignment="1">
      <alignment horizontal="right" vertical="top"/>
    </xf>
    <xf numFmtId="0" fontId="6" fillId="0" borderId="0" xfId="0" applyFont="1" applyAlignment="1">
      <alignment horizontal="right" vertical="top"/>
    </xf>
    <xf numFmtId="165" fontId="0" fillId="5" borderId="41" xfId="0" applyNumberFormat="1" applyFill="1" applyBorder="1" applyAlignment="1">
      <alignment horizontal="center" vertical="center" wrapText="1"/>
    </xf>
    <xf numFmtId="165" fontId="0" fillId="5" borderId="24" xfId="0" applyNumberFormat="1" applyFill="1" applyBorder="1" applyAlignment="1">
      <alignment horizontal="center" vertical="center" wrapText="1"/>
    </xf>
    <xf numFmtId="165" fontId="0" fillId="5" borderId="47" xfId="0" applyNumberFormat="1" applyFill="1" applyBorder="1" applyAlignment="1">
      <alignment horizontal="center" vertical="center" wrapText="1"/>
    </xf>
    <xf numFmtId="165" fontId="0" fillId="5" borderId="25" xfId="0" applyNumberFormat="1" applyFill="1" applyBorder="1" applyAlignment="1">
      <alignment horizontal="center" vertical="center" wrapText="1"/>
    </xf>
    <xf numFmtId="165" fontId="0" fillId="5" borderId="48" xfId="0" applyNumberFormat="1" applyFill="1" applyBorder="1" applyAlignment="1">
      <alignment horizontal="center" vertical="center" wrapText="1"/>
    </xf>
    <xf numFmtId="165" fontId="0" fillId="5" borderId="46" xfId="0" applyNumberFormat="1" applyFill="1" applyBorder="1" applyAlignment="1">
      <alignment horizontal="center" vertical="center" wrapText="1"/>
    </xf>
    <xf numFmtId="0" fontId="7" fillId="5" borderId="58" xfId="0" applyFont="1" applyFill="1" applyBorder="1" applyAlignment="1">
      <alignment horizontal="center" vertical="center"/>
    </xf>
    <xf numFmtId="0" fontId="7" fillId="5" borderId="59" xfId="0" applyFont="1" applyFill="1" applyBorder="1" applyAlignment="1">
      <alignment horizontal="center" vertical="center"/>
    </xf>
    <xf numFmtId="165" fontId="0" fillId="5" borderId="53" xfId="0" applyNumberFormat="1" applyFill="1" applyBorder="1" applyAlignment="1">
      <alignment horizontal="center" vertical="center" wrapText="1"/>
    </xf>
    <xf numFmtId="165" fontId="0" fillId="5" borderId="54" xfId="0" applyNumberFormat="1" applyFill="1" applyBorder="1" applyAlignment="1">
      <alignment horizontal="center" vertical="center" wrapText="1"/>
    </xf>
    <xf numFmtId="0" fontId="0" fillId="4" borderId="20" xfId="0" applyFill="1" applyBorder="1" applyAlignment="1">
      <alignment horizontal="center" vertical="top" wrapText="1"/>
    </xf>
    <xf numFmtId="0" fontId="0" fillId="4" borderId="21" xfId="0" applyFill="1" applyBorder="1" applyAlignment="1">
      <alignment horizontal="center" vertical="top"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165" fontId="3" fillId="0" borderId="5" xfId="0" applyNumberFormat="1" applyFont="1" applyBorder="1" applyAlignment="1">
      <alignment horizontal="center" vertical="center" wrapText="1"/>
    </xf>
    <xf numFmtId="165" fontId="3" fillId="0" borderId="3" xfId="0" applyNumberFormat="1" applyFont="1" applyBorder="1" applyAlignment="1">
      <alignment horizontal="center" vertical="center" wrapText="1"/>
    </xf>
    <xf numFmtId="165" fontId="0" fillId="0" borderId="5" xfId="0" applyNumberFormat="1" applyBorder="1" applyAlignment="1">
      <alignment horizontal="center" vertical="center" wrapText="1"/>
    </xf>
    <xf numFmtId="165" fontId="0" fillId="0" borderId="3" xfId="0" applyNumberFormat="1" applyBorder="1" applyAlignment="1">
      <alignment horizontal="center" vertical="center" wrapText="1"/>
    </xf>
    <xf numFmtId="165" fontId="1" fillId="0" borderId="24" xfId="0" applyNumberFormat="1" applyFont="1" applyBorder="1" applyAlignment="1">
      <alignment horizontal="center" vertical="center" wrapText="1"/>
    </xf>
    <xf numFmtId="165" fontId="1" fillId="0" borderId="25" xfId="0" applyNumberFormat="1" applyFont="1" applyBorder="1" applyAlignment="1">
      <alignment horizontal="center" vertical="center" wrapText="1"/>
    </xf>
    <xf numFmtId="0" fontId="0" fillId="2" borderId="22" xfId="0" applyFill="1" applyBorder="1" applyAlignment="1">
      <alignment horizontal="center" vertical="center" wrapText="1"/>
    </xf>
    <xf numFmtId="0" fontId="0" fillId="2" borderId="23" xfId="0" applyFill="1" applyBorder="1" applyAlignment="1">
      <alignment horizontal="center" vertical="center" wrapText="1"/>
    </xf>
    <xf numFmtId="165" fontId="0" fillId="3" borderId="6" xfId="0" applyNumberFormat="1" applyFill="1" applyBorder="1" applyAlignment="1">
      <alignment horizontal="center" vertical="center" wrapText="1"/>
    </xf>
    <xf numFmtId="165" fontId="0" fillId="3" borderId="2" xfId="0" applyNumberFormat="1" applyFill="1" applyBorder="1" applyAlignment="1">
      <alignment horizontal="center" vertical="center" wrapText="1"/>
    </xf>
    <xf numFmtId="165" fontId="0" fillId="0" borderId="0" xfId="0" applyNumberFormat="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165" fontId="11" fillId="0" borderId="5" xfId="0" applyNumberFormat="1" applyFont="1" applyBorder="1" applyAlignment="1">
      <alignment horizontal="center" vertical="center" wrapText="1"/>
    </xf>
    <xf numFmtId="165" fontId="11" fillId="0" borderId="0" xfId="0" applyNumberFormat="1" applyFont="1" applyBorder="1" applyAlignment="1">
      <alignment horizontal="center" vertical="center" wrapText="1"/>
    </xf>
    <xf numFmtId="165" fontId="11" fillId="0" borderId="3" xfId="0" applyNumberFormat="1" applyFont="1" applyBorder="1" applyAlignment="1">
      <alignment horizontal="center" vertical="center" wrapText="1"/>
    </xf>
    <xf numFmtId="0" fontId="0" fillId="0" borderId="0" xfId="0" applyBorder="1" applyAlignment="1">
      <alignment horizontal="center" vertical="center" wrapText="1"/>
    </xf>
    <xf numFmtId="165" fontId="0" fillId="5" borderId="30" xfId="0" applyNumberFormat="1" applyFill="1" applyBorder="1" applyAlignment="1">
      <alignment horizontal="center" vertical="center" wrapText="1"/>
    </xf>
    <xf numFmtId="165" fontId="0" fillId="5" borderId="42" xfId="0" applyNumberFormat="1" applyFill="1" applyBorder="1" applyAlignment="1">
      <alignment horizontal="center" vertical="center" wrapText="1"/>
    </xf>
    <xf numFmtId="0" fontId="1" fillId="0" borderId="29" xfId="0" applyFont="1" applyBorder="1" applyAlignment="1">
      <alignment horizontal="center" vertical="center" wrapText="1"/>
    </xf>
    <xf numFmtId="0" fontId="0" fillId="0" borderId="0" xfId="0" applyBorder="1" applyAlignment="1">
      <alignment horizontal="center" vertical="top"/>
    </xf>
    <xf numFmtId="0" fontId="4" fillId="0" borderId="3" xfId="0" applyFont="1" applyBorder="1" applyAlignment="1">
      <alignment horizontal="center" vertical="top" wrapText="1"/>
    </xf>
    <xf numFmtId="0" fontId="0" fillId="0" borderId="0" xfId="0" applyAlignment="1">
      <alignment horizontal="center" vertical="top"/>
    </xf>
    <xf numFmtId="165" fontId="9" fillId="0" borderId="5" xfId="0" applyNumberFormat="1" applyFont="1" applyBorder="1" applyAlignment="1">
      <alignment horizontal="center" vertical="center" wrapText="1"/>
    </xf>
    <xf numFmtId="165" fontId="9" fillId="0" borderId="3" xfId="0" applyNumberFormat="1" applyFont="1" applyBorder="1" applyAlignment="1">
      <alignment horizontal="center" vertical="center" wrapText="1"/>
    </xf>
    <xf numFmtId="165" fontId="0" fillId="0" borderId="0" xfId="0" applyNumberFormat="1" applyBorder="1" applyAlignment="1">
      <alignment horizontal="center" vertical="center" wrapText="1"/>
    </xf>
    <xf numFmtId="0" fontId="1" fillId="0" borderId="3" xfId="0" applyFont="1" applyBorder="1" applyAlignment="1">
      <alignment horizontal="center" vertical="center" wrapText="1"/>
    </xf>
    <xf numFmtId="165" fontId="1" fillId="0" borderId="54" xfId="0" applyNumberFormat="1" applyFont="1" applyBorder="1" applyAlignment="1">
      <alignment horizontal="center" vertical="center" wrapText="1"/>
    </xf>
    <xf numFmtId="166" fontId="0" fillId="0" borderId="0" xfId="0" applyNumberFormat="1" applyBorder="1" applyAlignment="1">
      <alignment horizontal="center" vertical="center" wrapText="1"/>
    </xf>
    <xf numFmtId="166" fontId="0" fillId="0" borderId="3" xfId="0" applyNumberFormat="1" applyBorder="1" applyAlignment="1">
      <alignment horizontal="center" vertical="center" wrapText="1"/>
    </xf>
    <xf numFmtId="0" fontId="7" fillId="0" borderId="11"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1"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66" xfId="0" applyFont="1" applyBorder="1" applyAlignment="1">
      <alignment horizontal="center" vertical="center"/>
    </xf>
    <xf numFmtId="0" fontId="7" fillId="0" borderId="19" xfId="0" applyFont="1" applyBorder="1" applyAlignment="1">
      <alignment horizontal="center" vertical="center"/>
    </xf>
    <xf numFmtId="0" fontId="0" fillId="6" borderId="0" xfId="0" applyFill="1" applyBorder="1" applyAlignment="1">
      <alignment horizontal="center" vertical="center" wrapText="1"/>
    </xf>
    <xf numFmtId="0" fontId="0" fillId="6" borderId="3" xfId="0" applyFill="1" applyBorder="1" applyAlignment="1">
      <alignment horizontal="center" vertical="center" wrapText="1"/>
    </xf>
    <xf numFmtId="0" fontId="0" fillId="6" borderId="5" xfId="0" applyFill="1" applyBorder="1" applyAlignment="1">
      <alignment horizontal="center" vertical="center" wrapText="1"/>
    </xf>
    <xf numFmtId="165" fontId="3" fillId="0" borderId="0" xfId="0" applyNumberFormat="1" applyFont="1" applyBorder="1" applyAlignment="1">
      <alignment horizontal="center" vertical="center" wrapText="1"/>
    </xf>
    <xf numFmtId="165" fontId="0" fillId="3" borderId="1" xfId="0" applyNumberFormat="1" applyFill="1" applyBorder="1" applyAlignment="1">
      <alignment horizontal="center" vertical="center" wrapText="1"/>
    </xf>
    <xf numFmtId="0" fontId="0" fillId="4" borderId="49" xfId="0" applyFill="1" applyBorder="1" applyAlignment="1">
      <alignment horizontal="center" vertical="top" wrapText="1"/>
    </xf>
    <xf numFmtId="165" fontId="0" fillId="2" borderId="22" xfId="0" applyNumberFormat="1" applyFill="1" applyBorder="1" applyAlignment="1">
      <alignment horizontal="center" vertical="center" wrapText="1"/>
    </xf>
    <xf numFmtId="165" fontId="0" fillId="2" borderId="23" xfId="0" applyNumberFormat="1" applyFill="1" applyBorder="1" applyAlignment="1">
      <alignment horizontal="center" vertical="center" wrapText="1"/>
    </xf>
    <xf numFmtId="165" fontId="0" fillId="4" borderId="20" xfId="0" applyNumberFormat="1" applyFill="1" applyBorder="1" applyAlignment="1">
      <alignment horizontal="center" vertical="center" wrapText="1"/>
    </xf>
    <xf numFmtId="165" fontId="0" fillId="4" borderId="21" xfId="0" applyNumberFormat="1" applyFill="1" applyBorder="1" applyAlignment="1">
      <alignment horizontal="center" vertical="center" wrapText="1"/>
    </xf>
    <xf numFmtId="0" fontId="0" fillId="2" borderId="50" xfId="0" applyFill="1" applyBorder="1" applyAlignment="1">
      <alignment horizontal="center" vertical="center" wrapText="1"/>
    </xf>
    <xf numFmtId="165" fontId="1" fillId="0" borderId="46" xfId="0" applyNumberFormat="1" applyFont="1" applyBorder="1" applyAlignment="1">
      <alignment horizontal="center" vertical="center" wrapText="1"/>
    </xf>
    <xf numFmtId="166" fontId="0" fillId="0" borderId="5" xfId="0" applyNumberFormat="1" applyBorder="1" applyAlignment="1">
      <alignment horizontal="center" vertical="center" wrapText="1"/>
    </xf>
    <xf numFmtId="165" fontId="0" fillId="4" borderId="49" xfId="0" applyNumberFormat="1" applyFill="1" applyBorder="1" applyAlignment="1">
      <alignment horizontal="center" vertical="center" wrapText="1"/>
    </xf>
    <xf numFmtId="0" fontId="0" fillId="2" borderId="45" xfId="0" applyFill="1" applyBorder="1" applyAlignment="1">
      <alignment horizontal="center" vertical="center" wrapText="1"/>
    </xf>
    <xf numFmtId="165" fontId="12" fillId="0" borderId="0" xfId="0" applyNumberFormat="1" applyFont="1" applyBorder="1" applyAlignment="1">
      <alignment horizontal="center" vertical="center" wrapText="1"/>
    </xf>
    <xf numFmtId="165" fontId="12" fillId="0" borderId="3" xfId="0" applyNumberFormat="1" applyFont="1" applyBorder="1" applyAlignment="1">
      <alignment horizontal="center" vertical="center" wrapText="1"/>
    </xf>
    <xf numFmtId="0" fontId="0" fillId="4" borderId="55" xfId="0" applyFill="1" applyBorder="1" applyAlignment="1">
      <alignment horizontal="center" vertical="top" wrapText="1"/>
    </xf>
    <xf numFmtId="165" fontId="0" fillId="3" borderId="56" xfId="0" applyNumberFormat="1" applyFill="1" applyBorder="1" applyAlignment="1">
      <alignment horizontal="center" vertical="center" wrapText="1"/>
    </xf>
    <xf numFmtId="0" fontId="0" fillId="2" borderId="57" xfId="0" applyFill="1" applyBorder="1" applyAlignment="1">
      <alignment horizontal="center" vertical="center" wrapText="1"/>
    </xf>
    <xf numFmtId="165" fontId="1" fillId="0" borderId="0" xfId="0" applyNumberFormat="1" applyFont="1" applyBorder="1" applyAlignment="1">
      <alignment horizontal="center" vertical="center" wrapText="1"/>
    </xf>
    <xf numFmtId="0" fontId="7" fillId="0" borderId="55" xfId="0" applyFont="1" applyBorder="1" applyAlignment="1">
      <alignment horizontal="center" vertical="center" wrapText="1"/>
    </xf>
    <xf numFmtId="0" fontId="7" fillId="0" borderId="43" xfId="0" applyFont="1" applyBorder="1" applyAlignment="1">
      <alignment horizontal="center" vertical="center" wrapText="1"/>
    </xf>
    <xf numFmtId="0" fontId="1" fillId="0" borderId="5" xfId="0" applyFont="1"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165" fontId="1" fillId="0" borderId="5" xfId="0" applyNumberFormat="1" applyFont="1" applyBorder="1" applyAlignment="1">
      <alignment horizontal="center" vertical="center" wrapText="1"/>
    </xf>
    <xf numFmtId="165" fontId="0" fillId="5" borderId="35" xfId="0" applyNumberFormat="1" applyFill="1" applyBorder="1" applyAlignment="1">
      <alignment horizontal="center" vertical="center" wrapText="1"/>
    </xf>
    <xf numFmtId="165" fontId="0" fillId="5" borderId="36" xfId="0" applyNumberFormat="1" applyFill="1" applyBorder="1" applyAlignment="1">
      <alignment horizontal="center" vertical="center" wrapText="1"/>
    </xf>
    <xf numFmtId="0" fontId="7" fillId="0" borderId="30" xfId="0" applyFont="1" applyBorder="1" applyAlignment="1">
      <alignment horizontal="center" vertical="center" wrapText="1"/>
    </xf>
    <xf numFmtId="0" fontId="7" fillId="0" borderId="31" xfId="0" applyFont="1" applyBorder="1" applyAlignment="1">
      <alignment horizontal="center" vertical="center" wrapText="1"/>
    </xf>
    <xf numFmtId="165" fontId="0" fillId="0" borderId="9" xfId="0" applyNumberFormat="1" applyBorder="1" applyAlignment="1">
      <alignment horizontal="center" vertical="top"/>
    </xf>
    <xf numFmtId="0" fontId="0" fillId="4" borderId="43" xfId="0" applyFill="1" applyBorder="1" applyAlignment="1">
      <alignment horizontal="center" vertical="top" wrapText="1"/>
    </xf>
    <xf numFmtId="165" fontId="0" fillId="3" borderId="44" xfId="0" applyNumberFormat="1" applyFill="1" applyBorder="1" applyAlignment="1">
      <alignment horizontal="center" vertical="center" wrapText="1"/>
    </xf>
    <xf numFmtId="165" fontId="0" fillId="4" borderId="51" xfId="0" applyNumberFormat="1" applyFill="1" applyBorder="1" applyAlignment="1">
      <alignment horizontal="center" vertical="center" wrapText="1"/>
    </xf>
    <xf numFmtId="165" fontId="0" fillId="4" borderId="52" xfId="0" applyNumberFormat="1" applyFill="1" applyBorder="1" applyAlignment="1">
      <alignment horizontal="center" vertical="center" wrapText="1"/>
    </xf>
    <xf numFmtId="165" fontId="0" fillId="3" borderId="51" xfId="0" applyNumberFormat="1" applyFill="1" applyBorder="1" applyAlignment="1">
      <alignment horizontal="center" vertical="center" wrapText="1"/>
    </xf>
    <xf numFmtId="165" fontId="0" fillId="3" borderId="52" xfId="0" applyNumberFormat="1" applyFill="1" applyBorder="1" applyAlignment="1">
      <alignment horizontal="center" vertical="center" wrapText="1"/>
    </xf>
    <xf numFmtId="165" fontId="0" fillId="2" borderId="51" xfId="0" applyNumberFormat="1" applyFill="1" applyBorder="1" applyAlignment="1">
      <alignment horizontal="center" vertical="center" wrapText="1"/>
    </xf>
    <xf numFmtId="165" fontId="0" fillId="2" borderId="52" xfId="0" applyNumberForma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347117</xdr:colOff>
      <xdr:row>10</xdr:row>
      <xdr:rowOff>31715</xdr:rowOff>
    </xdr:to>
    <xdr:sp macro="" textlink="">
      <xdr:nvSpPr>
        <xdr:cNvPr id="2" name="EsriDoNotEdit">
          <a:extLst>
            <a:ext uri="{FF2B5EF4-FFF2-40B4-BE49-F238E27FC236}">
              <a16:creationId xmlns:a16="http://schemas.microsoft.com/office/drawing/2014/main" id="{CECC22F1-9628-4E6F-95BE-EEE86E9D6E88}"/>
            </a:ext>
          </a:extLst>
        </xdr:cNvPr>
        <xdr:cNvSpPr/>
      </xdr:nvSpPr>
      <xdr:spPr>
        <a:xfrm>
          <a:off x="0" y="0"/>
          <a:ext cx="7967117" cy="1650965"/>
        </a:xfrm>
        <a:prstGeom prst="rect">
          <a:avLst/>
        </a:prstGeom>
        <a:noFill/>
      </xdr:spPr>
      <xdr:txBody>
        <a:bodyPr wrap="none" lIns="91440" tIns="45720" rIns="91440" bIns="45720">
          <a:spAutoFit/>
        </a:bodyPr>
        <a:lstStyle/>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NO EDITAR </a:t>
          </a:r>
        </a:p>
        <a:p>
          <a:pPr algn="ctr"/>
          <a:r>
            <a:rPr lang="es-E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Solo para uso de Esri</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02"/>
  <sheetViews>
    <sheetView tabSelected="1" zoomScale="140" zoomScaleNormal="140" workbookViewId="0">
      <pane xSplit="1" ySplit="2" topLeftCell="G58" activePane="bottomRight" state="frozen"/>
      <selection pane="topRight" activeCell="B1" sqref="B1"/>
      <selection pane="bottomLeft" activeCell="A3" sqref="A3"/>
      <selection pane="bottomRight" activeCell="K62" sqref="K62"/>
    </sheetView>
  </sheetViews>
  <sheetFormatPr baseColWidth="10" defaultRowHeight="12.75" x14ac:dyDescent="0.2"/>
  <cols>
    <col min="1" max="1" width="11.42578125" customWidth="1"/>
    <col min="2" max="2" width="53.85546875" customWidth="1"/>
    <col min="3" max="3" width="5.85546875" customWidth="1"/>
    <col min="4" max="4" width="19.85546875" hidden="1" customWidth="1"/>
    <col min="5" max="5" width="20.28515625" hidden="1" customWidth="1"/>
    <col min="6" max="6" width="21" hidden="1" customWidth="1"/>
    <col min="7" max="7" width="24.5703125" bestFit="1" customWidth="1"/>
    <col min="8" max="8" width="13.7109375" bestFit="1" customWidth="1"/>
    <col min="9" max="9" width="29.140625" customWidth="1"/>
    <col min="10" max="10" width="18.140625" hidden="1" customWidth="1"/>
    <col min="11" max="11" width="18.140625" customWidth="1"/>
    <col min="12" max="12" width="21.28515625" customWidth="1"/>
    <col min="13" max="13" width="20.85546875" customWidth="1"/>
    <col min="14" max="16" width="21.85546875" customWidth="1"/>
    <col min="17" max="17" width="18.140625" customWidth="1"/>
    <col min="18" max="18" width="16.85546875" customWidth="1"/>
    <col min="19" max="19" width="25.5703125" customWidth="1"/>
    <col min="20" max="21" width="16.85546875" customWidth="1"/>
    <col min="22" max="22" width="16.7109375" customWidth="1"/>
    <col min="23" max="23" width="37.28515625" bestFit="1" customWidth="1"/>
    <col min="24" max="25" width="16.5703125" bestFit="1" customWidth="1"/>
    <col min="26" max="27" width="13.5703125" bestFit="1" customWidth="1"/>
    <col min="28" max="30" width="12.7109375" bestFit="1" customWidth="1"/>
    <col min="31" max="31" width="11.7109375" bestFit="1" customWidth="1"/>
  </cols>
  <sheetData>
    <row r="1" spans="1:28" ht="18" hidden="1" x14ac:dyDescent="0.2">
      <c r="A1" s="250" t="s">
        <v>143</v>
      </c>
      <c r="B1" s="250"/>
      <c r="C1" s="250"/>
      <c r="D1" s="250"/>
      <c r="E1" s="250"/>
      <c r="F1" s="250"/>
      <c r="G1" s="250"/>
      <c r="H1" s="20"/>
      <c r="I1" s="20"/>
      <c r="J1" s="20"/>
      <c r="K1" s="20"/>
      <c r="L1" s="20"/>
      <c r="M1" s="20"/>
      <c r="N1" s="20"/>
      <c r="O1" s="20"/>
      <c r="P1" s="20"/>
      <c r="Q1" s="20"/>
    </row>
    <row r="2" spans="1:28" ht="15.75" hidden="1" x14ac:dyDescent="0.2">
      <c r="D2" s="17" t="s">
        <v>131</v>
      </c>
      <c r="E2" s="17" t="s">
        <v>132</v>
      </c>
      <c r="F2" s="17" t="s">
        <v>135</v>
      </c>
      <c r="G2" s="17" t="s">
        <v>134</v>
      </c>
      <c r="H2" s="21"/>
      <c r="I2" s="21"/>
      <c r="J2" s="21"/>
      <c r="K2" s="21"/>
      <c r="L2" s="21"/>
      <c r="M2" s="136"/>
      <c r="N2" s="136"/>
      <c r="O2" s="136"/>
      <c r="P2" s="136"/>
      <c r="Q2" s="136"/>
      <c r="R2" s="249"/>
      <c r="S2" s="249"/>
      <c r="T2" s="249"/>
      <c r="U2" s="249"/>
      <c r="V2" s="249"/>
    </row>
    <row r="3" spans="1:28" ht="15.75" hidden="1" x14ac:dyDescent="0.2">
      <c r="B3" s="7" t="s">
        <v>136</v>
      </c>
      <c r="D3" s="8"/>
      <c r="E3" s="8"/>
      <c r="F3" s="8"/>
      <c r="G3" s="66"/>
      <c r="H3" s="1"/>
      <c r="I3" s="1"/>
      <c r="J3" s="1"/>
      <c r="K3" s="1"/>
      <c r="L3" s="1"/>
      <c r="M3" s="1"/>
      <c r="N3" s="1"/>
      <c r="O3" s="1"/>
      <c r="P3" s="1"/>
      <c r="Q3" s="1"/>
      <c r="W3" s="13"/>
      <c r="Z3" s="13"/>
      <c r="AA3" s="13"/>
      <c r="AB3" s="13"/>
    </row>
    <row r="4" spans="1:28" hidden="1" x14ac:dyDescent="0.2">
      <c r="A4" s="1" t="s">
        <v>1</v>
      </c>
      <c r="B4" s="1" t="s">
        <v>2</v>
      </c>
      <c r="C4" s="1" t="s">
        <v>0</v>
      </c>
      <c r="D4" s="9">
        <v>184493000</v>
      </c>
      <c r="E4" s="9">
        <v>681284896</v>
      </c>
      <c r="F4" s="9">
        <v>125312000</v>
      </c>
      <c r="G4" s="9">
        <f>D4+E4+F4</f>
        <v>991089896</v>
      </c>
      <c r="H4" s="3"/>
      <c r="I4" s="3"/>
      <c r="J4" s="3"/>
      <c r="K4" s="3"/>
      <c r="L4" s="3"/>
      <c r="M4" s="3"/>
      <c r="N4" s="3"/>
      <c r="O4" s="3"/>
      <c r="P4" s="3"/>
      <c r="Q4" s="3"/>
      <c r="R4" s="18"/>
    </row>
    <row r="5" spans="1:28" hidden="1" x14ac:dyDescent="0.2">
      <c r="A5" s="4" t="s">
        <v>67</v>
      </c>
      <c r="B5" s="4" t="s">
        <v>133</v>
      </c>
      <c r="C5" s="5" t="s">
        <v>0</v>
      </c>
      <c r="D5" s="9">
        <v>0</v>
      </c>
      <c r="E5" s="9">
        <v>4500000</v>
      </c>
      <c r="F5" s="9">
        <v>0</v>
      </c>
      <c r="G5" s="9">
        <f t="shared" ref="G5:G15" si="0">D5+E5+F5</f>
        <v>4500000</v>
      </c>
      <c r="H5" s="3"/>
      <c r="I5" s="3"/>
      <c r="J5" s="3"/>
      <c r="K5" s="3"/>
      <c r="L5" s="3"/>
      <c r="M5" s="3"/>
      <c r="N5" s="3"/>
      <c r="O5" s="3"/>
      <c r="P5" s="3"/>
      <c r="Q5" s="3"/>
    </row>
    <row r="6" spans="1:28" hidden="1" x14ac:dyDescent="0.2">
      <c r="A6" s="1" t="s">
        <v>3</v>
      </c>
      <c r="B6" s="1" t="s">
        <v>4</v>
      </c>
      <c r="C6" s="1" t="s">
        <v>0</v>
      </c>
      <c r="D6" s="9">
        <v>53389504</v>
      </c>
      <c r="E6" s="9">
        <v>204244344</v>
      </c>
      <c r="F6" s="9">
        <v>32912448</v>
      </c>
      <c r="G6" s="9">
        <f t="shared" si="0"/>
        <v>290546296</v>
      </c>
      <c r="H6" s="3"/>
      <c r="I6" s="3"/>
      <c r="J6" s="3"/>
      <c r="K6" s="3"/>
      <c r="L6" s="3"/>
      <c r="M6" s="3"/>
      <c r="N6" s="3"/>
      <c r="O6" s="3"/>
      <c r="P6" s="3"/>
      <c r="Q6" s="3"/>
    </row>
    <row r="7" spans="1:28" hidden="1" x14ac:dyDescent="0.2">
      <c r="A7" s="1" t="s">
        <v>5</v>
      </c>
      <c r="B7" s="1" t="s">
        <v>6</v>
      </c>
      <c r="C7" s="1" t="s">
        <v>0</v>
      </c>
      <c r="D7" s="9">
        <v>92602970</v>
      </c>
      <c r="E7" s="9">
        <v>290602390</v>
      </c>
      <c r="F7" s="9">
        <v>60072050</v>
      </c>
      <c r="G7" s="9">
        <f t="shared" si="0"/>
        <v>443277410</v>
      </c>
      <c r="H7" s="3"/>
      <c r="I7" s="3"/>
      <c r="J7" s="3"/>
      <c r="K7" s="3"/>
      <c r="L7" s="3"/>
      <c r="M7" s="3"/>
      <c r="N7" s="3"/>
      <c r="O7" s="3"/>
      <c r="P7" s="3"/>
      <c r="Q7" s="3"/>
    </row>
    <row r="8" spans="1:28" hidden="1" x14ac:dyDescent="0.2">
      <c r="A8" s="1" t="s">
        <v>7</v>
      </c>
      <c r="B8" s="1" t="s">
        <v>8</v>
      </c>
      <c r="C8" s="1" t="s">
        <v>0</v>
      </c>
      <c r="D8" s="9">
        <v>28580870</v>
      </c>
      <c r="E8" s="9">
        <v>97315187</v>
      </c>
      <c r="F8" s="9">
        <v>18830871</v>
      </c>
      <c r="G8" s="9">
        <f t="shared" si="0"/>
        <v>144726928</v>
      </c>
      <c r="H8" s="3"/>
      <c r="I8" s="3"/>
      <c r="J8" s="3"/>
      <c r="K8" s="3"/>
      <c r="L8" s="3"/>
      <c r="M8" s="3"/>
      <c r="N8" s="3"/>
      <c r="O8" s="3"/>
      <c r="P8" s="3"/>
      <c r="Q8" s="3"/>
      <c r="W8" s="13"/>
    </row>
    <row r="9" spans="1:28" hidden="1" x14ac:dyDescent="0.2">
      <c r="A9" s="1" t="s">
        <v>9</v>
      </c>
      <c r="B9" s="1" t="s">
        <v>10</v>
      </c>
      <c r="C9" s="1" t="s">
        <v>0</v>
      </c>
      <c r="D9" s="9">
        <v>20461534</v>
      </c>
      <c r="E9" s="9">
        <v>64788953</v>
      </c>
      <c r="F9" s="9">
        <v>11985526</v>
      </c>
      <c r="G9" s="9">
        <f t="shared" si="0"/>
        <v>97236013</v>
      </c>
      <c r="H9" s="3"/>
      <c r="I9" s="3"/>
      <c r="J9" s="3"/>
      <c r="K9" s="3"/>
      <c r="L9" s="3"/>
      <c r="M9" s="3"/>
      <c r="N9" s="3"/>
      <c r="O9" s="3"/>
      <c r="P9" s="3"/>
      <c r="Q9" s="3"/>
      <c r="W9" s="13"/>
      <c r="AA9" s="13"/>
    </row>
    <row r="10" spans="1:28" hidden="1" x14ac:dyDescent="0.2">
      <c r="A10" s="1" t="s">
        <v>11</v>
      </c>
      <c r="B10" s="1" t="s">
        <v>12</v>
      </c>
      <c r="C10" s="6" t="s">
        <v>13</v>
      </c>
      <c r="D10" s="9">
        <v>30294292</v>
      </c>
      <c r="E10" s="12">
        <v>111553939</v>
      </c>
      <c r="F10" s="9">
        <v>20675307</v>
      </c>
      <c r="G10" s="9">
        <f t="shared" si="0"/>
        <v>162523538</v>
      </c>
      <c r="H10" s="3"/>
      <c r="I10" s="3"/>
      <c r="J10" s="3"/>
      <c r="K10" s="3"/>
      <c r="L10" s="3"/>
      <c r="M10" s="3"/>
      <c r="N10" s="3"/>
      <c r="O10" s="3"/>
      <c r="P10" s="3"/>
      <c r="Q10" s="3"/>
      <c r="W10" s="13"/>
      <c r="AA10" s="13"/>
    </row>
    <row r="11" spans="1:28" hidden="1" x14ac:dyDescent="0.2">
      <c r="A11" s="1" t="s">
        <v>68</v>
      </c>
      <c r="B11" s="1" t="s">
        <v>14</v>
      </c>
      <c r="C11" s="1" t="s">
        <v>0</v>
      </c>
      <c r="D11" s="9">
        <v>35106329</v>
      </c>
      <c r="E11" s="9">
        <v>124203059</v>
      </c>
      <c r="F11" s="9">
        <v>23042934</v>
      </c>
      <c r="G11" s="9">
        <f t="shared" si="0"/>
        <v>182352322</v>
      </c>
      <c r="H11" s="3"/>
      <c r="I11" s="3"/>
      <c r="J11" s="3"/>
      <c r="K11" s="3"/>
      <c r="L11" s="3"/>
      <c r="M11" s="3"/>
      <c r="N11" s="3"/>
      <c r="O11" s="3"/>
      <c r="P11" s="3"/>
      <c r="Q11" s="3"/>
      <c r="W11" s="13"/>
      <c r="AA11" s="13"/>
    </row>
    <row r="12" spans="1:28" hidden="1" x14ac:dyDescent="0.2">
      <c r="A12" s="1" t="s">
        <v>69</v>
      </c>
      <c r="B12" s="1" t="s">
        <v>15</v>
      </c>
      <c r="C12" s="1" t="s">
        <v>0</v>
      </c>
      <c r="D12" s="9">
        <v>1897639</v>
      </c>
      <c r="E12" s="9">
        <v>6713679</v>
      </c>
      <c r="F12" s="9">
        <v>1245564</v>
      </c>
      <c r="G12" s="9">
        <f t="shared" si="0"/>
        <v>9856882</v>
      </c>
      <c r="H12" s="3"/>
      <c r="I12" s="3"/>
      <c r="J12" s="3"/>
      <c r="K12" s="3"/>
      <c r="L12" s="3"/>
      <c r="M12" s="3"/>
      <c r="N12" s="3"/>
      <c r="O12" s="3"/>
      <c r="P12" s="3"/>
      <c r="Q12" s="3"/>
      <c r="W12" s="13"/>
      <c r="X12" s="13"/>
    </row>
    <row r="13" spans="1:28" hidden="1" x14ac:dyDescent="0.2">
      <c r="A13" s="1" t="s">
        <v>70</v>
      </c>
      <c r="B13" s="1" t="s">
        <v>16</v>
      </c>
      <c r="C13" s="1" t="s">
        <v>0</v>
      </c>
      <c r="D13" s="9">
        <v>19925214</v>
      </c>
      <c r="E13" s="9">
        <v>70493628</v>
      </c>
      <c r="F13" s="9">
        <v>13078422</v>
      </c>
      <c r="G13" s="9">
        <f t="shared" si="0"/>
        <v>103497264</v>
      </c>
      <c r="H13" s="3"/>
      <c r="I13" s="3"/>
      <c r="J13" s="3"/>
      <c r="K13" s="3"/>
      <c r="L13" s="3">
        <f>+I18+I20+I21+I22+I23+I25+I27</f>
        <v>169385566</v>
      </c>
      <c r="M13" s="3"/>
      <c r="N13" s="3"/>
      <c r="O13" s="3"/>
      <c r="P13" s="3"/>
      <c r="Q13" s="3"/>
      <c r="W13" s="13"/>
      <c r="X13" s="13"/>
      <c r="Y13" s="13"/>
    </row>
    <row r="14" spans="1:28" ht="13.5" hidden="1" thickBot="1" x14ac:dyDescent="0.25">
      <c r="A14" s="1" t="s">
        <v>71</v>
      </c>
      <c r="B14" s="1" t="s">
        <v>17</v>
      </c>
      <c r="C14" s="1" t="s">
        <v>0</v>
      </c>
      <c r="D14" s="9">
        <v>5692918</v>
      </c>
      <c r="E14" s="9">
        <v>20141037</v>
      </c>
      <c r="F14" s="9">
        <v>3736692</v>
      </c>
      <c r="G14" s="9">
        <f t="shared" si="0"/>
        <v>29570647</v>
      </c>
      <c r="H14" s="3"/>
      <c r="I14" s="3"/>
      <c r="J14" s="3"/>
      <c r="K14" s="135"/>
      <c r="L14" s="3"/>
      <c r="M14" s="3"/>
      <c r="N14" s="3"/>
      <c r="O14" s="3"/>
      <c r="P14" s="3"/>
      <c r="Q14" s="137"/>
      <c r="S14" s="18"/>
      <c r="T14" s="18"/>
      <c r="U14" s="18"/>
      <c r="W14" s="13"/>
      <c r="X14" s="13"/>
      <c r="Y14" s="14"/>
      <c r="Z14" s="13"/>
    </row>
    <row r="15" spans="1:28" ht="16.5" hidden="1" thickBot="1" x14ac:dyDescent="0.25">
      <c r="A15" s="1" t="s">
        <v>72</v>
      </c>
      <c r="B15" s="1" t="s">
        <v>18</v>
      </c>
      <c r="C15" s="1" t="s">
        <v>0</v>
      </c>
      <c r="D15" s="9">
        <v>11385386</v>
      </c>
      <c r="E15" s="9">
        <v>40282073</v>
      </c>
      <c r="F15" s="9">
        <v>7473384</v>
      </c>
      <c r="G15" s="9">
        <f t="shared" si="0"/>
        <v>59140843</v>
      </c>
      <c r="H15" s="3"/>
      <c r="I15" s="3"/>
      <c r="J15" s="3"/>
      <c r="K15" s="3"/>
      <c r="L15" s="3"/>
      <c r="M15" s="3"/>
      <c r="N15" s="3"/>
      <c r="O15" s="3"/>
      <c r="P15" s="3"/>
      <c r="Q15" s="138"/>
      <c r="R15" s="18">
        <f>+G15+G14+G13+G12+G11+G10+G9+G8+G7+G6+G5+G4</f>
        <v>2518318039</v>
      </c>
      <c r="S15" s="102" t="s">
        <v>212</v>
      </c>
    </row>
    <row r="16" spans="1:28" ht="24" customHeight="1" thickBot="1" x14ac:dyDescent="0.25">
      <c r="A16" s="201" t="s">
        <v>265</v>
      </c>
      <c r="B16" s="202"/>
      <c r="C16" s="202"/>
      <c r="D16" s="202"/>
      <c r="E16" s="202"/>
      <c r="F16" s="202"/>
      <c r="G16" s="202"/>
      <c r="H16" s="202"/>
      <c r="I16" s="202"/>
      <c r="J16" s="202"/>
      <c r="K16" s="202"/>
      <c r="L16" s="202"/>
      <c r="M16" s="202"/>
      <c r="N16" s="203"/>
      <c r="O16" s="3"/>
      <c r="P16" s="3"/>
      <c r="Q16" s="136"/>
      <c r="R16" s="18"/>
      <c r="S16" s="102"/>
    </row>
    <row r="17" spans="1:27" ht="15.75" x14ac:dyDescent="0.2">
      <c r="A17" s="183"/>
      <c r="B17" s="150" t="s">
        <v>137</v>
      </c>
      <c r="C17" s="150" t="s">
        <v>145</v>
      </c>
      <c r="D17" s="187"/>
      <c r="E17" s="187"/>
      <c r="F17" s="11"/>
      <c r="G17" s="150" t="s">
        <v>261</v>
      </c>
      <c r="H17" s="195" t="s">
        <v>262</v>
      </c>
      <c r="I17" s="196" t="s">
        <v>263</v>
      </c>
      <c r="J17" s="139"/>
      <c r="K17" s="269" t="s">
        <v>264</v>
      </c>
      <c r="L17" s="269"/>
      <c r="M17" s="269"/>
      <c r="N17" s="270"/>
      <c r="O17" s="3"/>
      <c r="P17" s="3"/>
      <c r="Q17" s="135"/>
      <c r="R17" s="18">
        <f>+R15+G71+G72</f>
        <v>2551042888</v>
      </c>
      <c r="S17" s="103" t="s">
        <v>220</v>
      </c>
    </row>
    <row r="18" spans="1:27" ht="76.5" customHeight="1" x14ac:dyDescent="0.2">
      <c r="A18" s="181" t="s">
        <v>19</v>
      </c>
      <c r="B18" s="168" t="s">
        <v>20</v>
      </c>
      <c r="C18" s="170" t="s">
        <v>0</v>
      </c>
      <c r="D18" s="92">
        <f>W95</f>
        <v>0</v>
      </c>
      <c r="E18" s="92">
        <f>X95</f>
        <v>363193752</v>
      </c>
      <c r="F18" s="92">
        <f>Y95</f>
        <v>0</v>
      </c>
      <c r="G18" s="147">
        <f>D18+E18+F18</f>
        <v>363193752</v>
      </c>
      <c r="H18" s="151">
        <f>+G18-I18</f>
        <v>242512426</v>
      </c>
      <c r="I18" s="149">
        <f>121064584-383258</f>
        <v>120681326</v>
      </c>
      <c r="J18" s="3">
        <f>+H18+I18-G18</f>
        <v>0</v>
      </c>
      <c r="K18" s="197" t="s">
        <v>285</v>
      </c>
      <c r="L18" s="198"/>
      <c r="M18" s="198"/>
      <c r="N18" s="199"/>
      <c r="O18" s="3"/>
      <c r="P18" s="3"/>
      <c r="Q18" s="3"/>
      <c r="S18" s="18"/>
    </row>
    <row r="19" spans="1:27" ht="12.75" hidden="1" customHeight="1" x14ac:dyDescent="0.2">
      <c r="A19" s="182" t="s">
        <v>21</v>
      </c>
      <c r="B19" s="2" t="s">
        <v>22</v>
      </c>
      <c r="C19" s="2" t="s">
        <v>0</v>
      </c>
      <c r="D19" s="9">
        <v>0</v>
      </c>
      <c r="E19" s="9">
        <v>0</v>
      </c>
      <c r="F19" s="9">
        <v>0</v>
      </c>
      <c r="G19" s="9">
        <f t="shared" ref="G19:G47" si="1">D19+E19+F19</f>
        <v>0</v>
      </c>
      <c r="H19" s="101">
        <f t="shared" ref="H19:H47" si="2">+G19-I19</f>
        <v>0</v>
      </c>
      <c r="I19" s="128"/>
      <c r="J19" s="3">
        <f t="shared" ref="J19:J74" si="3">+H19+I19-G19</f>
        <v>0</v>
      </c>
      <c r="K19" s="146"/>
      <c r="L19" s="146"/>
      <c r="M19" s="146"/>
      <c r="N19" s="146"/>
      <c r="O19" s="3"/>
      <c r="P19" s="3"/>
      <c r="Q19" s="3"/>
    </row>
    <row r="20" spans="1:27" ht="66" customHeight="1" x14ac:dyDescent="0.2">
      <c r="A20" s="182" t="s">
        <v>23</v>
      </c>
      <c r="B20" s="2" t="s">
        <v>24</v>
      </c>
      <c r="C20" s="2" t="s">
        <v>0</v>
      </c>
      <c r="D20" s="9">
        <f>W97</f>
        <v>15667000</v>
      </c>
      <c r="E20" s="9">
        <f>X97</f>
        <v>15667000</v>
      </c>
      <c r="F20" s="9">
        <f>Y97</f>
        <v>15666000</v>
      </c>
      <c r="G20" s="9">
        <f t="shared" si="1"/>
        <v>47000000</v>
      </c>
      <c r="H20" s="101">
        <f t="shared" si="2"/>
        <v>27803420</v>
      </c>
      <c r="I20" s="128">
        <v>19196580</v>
      </c>
      <c r="J20" s="3">
        <f t="shared" si="3"/>
        <v>0</v>
      </c>
      <c r="K20" s="197" t="s">
        <v>286</v>
      </c>
      <c r="L20" s="197"/>
      <c r="M20" s="197"/>
      <c r="N20" s="204"/>
      <c r="O20" s="200"/>
      <c r="P20" s="200"/>
      <c r="Q20" s="200"/>
      <c r="R20" s="18">
        <v>11215575000</v>
      </c>
      <c r="S20" s="103" t="s">
        <v>222</v>
      </c>
      <c r="X20" s="13"/>
    </row>
    <row r="21" spans="1:27" ht="73.5" customHeight="1" x14ac:dyDescent="0.2">
      <c r="A21" s="182" t="s">
        <v>25</v>
      </c>
      <c r="B21" s="2" t="s">
        <v>26</v>
      </c>
      <c r="C21" s="2" t="s">
        <v>0</v>
      </c>
      <c r="D21" s="9">
        <f>W99</f>
        <v>0</v>
      </c>
      <c r="E21" s="9">
        <f>X99</f>
        <v>3100000</v>
      </c>
      <c r="F21" s="9">
        <f>Y99</f>
        <v>0</v>
      </c>
      <c r="G21" s="9">
        <f t="shared" si="1"/>
        <v>3100000</v>
      </c>
      <c r="H21" s="101">
        <f t="shared" si="2"/>
        <v>1842340</v>
      </c>
      <c r="I21" s="128">
        <v>1257660</v>
      </c>
      <c r="J21" s="3">
        <f t="shared" si="3"/>
        <v>0</v>
      </c>
      <c r="K21" s="198" t="s">
        <v>271</v>
      </c>
      <c r="L21" s="198"/>
      <c r="M21" s="198"/>
      <c r="N21" s="199"/>
      <c r="O21" s="200"/>
      <c r="P21" s="200"/>
      <c r="Q21" s="200"/>
      <c r="R21" s="18">
        <v>8279280000</v>
      </c>
      <c r="S21" s="102" t="s">
        <v>223</v>
      </c>
      <c r="X21" s="13"/>
      <c r="Y21" s="13"/>
      <c r="Z21" s="13"/>
    </row>
    <row r="22" spans="1:27" ht="66.75" customHeight="1" x14ac:dyDescent="0.2">
      <c r="A22" s="182" t="s">
        <v>27</v>
      </c>
      <c r="B22" s="2" t="s">
        <v>28</v>
      </c>
      <c r="C22" s="2" t="s">
        <v>0</v>
      </c>
      <c r="D22" s="9">
        <v>0</v>
      </c>
      <c r="E22" s="9">
        <f>T101</f>
        <v>3960000</v>
      </c>
      <c r="F22" s="9">
        <v>0</v>
      </c>
      <c r="G22" s="9">
        <f>D22+E22+F22</f>
        <v>3960000</v>
      </c>
      <c r="H22" s="101">
        <f t="shared" si="2"/>
        <v>2460000</v>
      </c>
      <c r="I22" s="128">
        <v>1500000</v>
      </c>
      <c r="J22" s="3">
        <f t="shared" si="3"/>
        <v>0</v>
      </c>
      <c r="K22" s="197" t="s">
        <v>274</v>
      </c>
      <c r="L22" s="198"/>
      <c r="M22" s="198"/>
      <c r="N22" s="199"/>
      <c r="O22" s="200"/>
      <c r="P22" s="200"/>
      <c r="Q22" s="200"/>
      <c r="R22" s="126">
        <f>+R20-R21</f>
        <v>2936295000</v>
      </c>
      <c r="S22" s="102" t="s">
        <v>224</v>
      </c>
      <c r="X22" s="13"/>
      <c r="Z22" s="13"/>
      <c r="AA22" s="13"/>
    </row>
    <row r="23" spans="1:27" ht="63.75" customHeight="1" x14ac:dyDescent="0.2">
      <c r="A23" s="182" t="s">
        <v>29</v>
      </c>
      <c r="B23" s="2" t="s">
        <v>30</v>
      </c>
      <c r="C23" s="2" t="s">
        <v>0</v>
      </c>
      <c r="D23" s="9">
        <v>0</v>
      </c>
      <c r="E23" s="9">
        <f>X103</f>
        <v>27000000</v>
      </c>
      <c r="F23" s="9">
        <v>0</v>
      </c>
      <c r="G23" s="9">
        <f t="shared" si="1"/>
        <v>27000000</v>
      </c>
      <c r="H23" s="101">
        <f t="shared" si="2"/>
        <v>16000000</v>
      </c>
      <c r="I23" s="128">
        <v>11000000</v>
      </c>
      <c r="J23" s="3">
        <f t="shared" si="3"/>
        <v>0</v>
      </c>
      <c r="K23" s="197" t="s">
        <v>287</v>
      </c>
      <c r="L23" s="198"/>
      <c r="M23" s="198"/>
      <c r="N23" s="199"/>
      <c r="O23" s="200"/>
      <c r="P23" s="200"/>
      <c r="Q23" s="200"/>
      <c r="R23" s="18">
        <v>2551043248</v>
      </c>
      <c r="S23" s="102" t="s">
        <v>229</v>
      </c>
      <c r="X23" s="13"/>
    </row>
    <row r="24" spans="1:27" x14ac:dyDescent="0.2">
      <c r="A24" s="182" t="s">
        <v>73</v>
      </c>
      <c r="B24" s="2" t="s">
        <v>74</v>
      </c>
      <c r="C24" s="2" t="s">
        <v>0</v>
      </c>
      <c r="D24" s="9">
        <v>0</v>
      </c>
      <c r="E24" s="9">
        <f>X105</f>
        <v>500000</v>
      </c>
      <c r="F24" s="9">
        <v>0</v>
      </c>
      <c r="G24" s="9">
        <f t="shared" si="1"/>
        <v>500000</v>
      </c>
      <c r="H24" s="101">
        <f t="shared" si="2"/>
        <v>500000</v>
      </c>
      <c r="I24" s="128">
        <v>0</v>
      </c>
      <c r="J24" s="3">
        <f t="shared" si="3"/>
        <v>0</v>
      </c>
      <c r="K24" s="171"/>
      <c r="L24" s="172"/>
      <c r="M24" s="172"/>
      <c r="N24" s="173"/>
      <c r="O24" s="200"/>
      <c r="P24" s="200"/>
      <c r="Q24" s="200"/>
      <c r="R24" s="18">
        <f>+R22-R23</f>
        <v>385251752</v>
      </c>
      <c r="S24" s="102" t="s">
        <v>225</v>
      </c>
      <c r="X24" s="13"/>
    </row>
    <row r="25" spans="1:27" ht="75.75" customHeight="1" x14ac:dyDescent="0.2">
      <c r="A25" s="182" t="s">
        <v>31</v>
      </c>
      <c r="B25" s="2" t="s">
        <v>32</v>
      </c>
      <c r="C25" s="2" t="s">
        <v>0</v>
      </c>
      <c r="D25" s="9">
        <v>0</v>
      </c>
      <c r="E25" s="9">
        <f>X107</f>
        <v>24500000</v>
      </c>
      <c r="F25" s="9">
        <v>0</v>
      </c>
      <c r="G25" s="9">
        <f t="shared" si="1"/>
        <v>24500000</v>
      </c>
      <c r="H25" s="101">
        <f t="shared" si="2"/>
        <v>14750000</v>
      </c>
      <c r="I25" s="128">
        <v>9750000</v>
      </c>
      <c r="J25" s="3">
        <f t="shared" si="3"/>
        <v>0</v>
      </c>
      <c r="K25" s="197" t="s">
        <v>288</v>
      </c>
      <c r="L25" s="198"/>
      <c r="M25" s="198"/>
      <c r="N25" s="199"/>
      <c r="O25" s="200"/>
      <c r="P25" s="200"/>
      <c r="Q25" s="200"/>
      <c r="R25" s="18">
        <f>+S29</f>
        <v>679004220</v>
      </c>
      <c r="S25" s="102" t="s">
        <v>226</v>
      </c>
      <c r="W25" s="13"/>
      <c r="X25" s="16"/>
      <c r="Z25" s="13"/>
    </row>
    <row r="26" spans="1:27" x14ac:dyDescent="0.2">
      <c r="A26" s="182" t="s">
        <v>75</v>
      </c>
      <c r="B26" s="2" t="s">
        <v>76</v>
      </c>
      <c r="C26" s="2" t="s">
        <v>0</v>
      </c>
      <c r="D26" s="9">
        <v>0</v>
      </c>
      <c r="E26" s="9">
        <f>X109</f>
        <v>340000</v>
      </c>
      <c r="F26" s="9">
        <v>0</v>
      </c>
      <c r="G26" s="9">
        <f t="shared" si="1"/>
        <v>340000</v>
      </c>
      <c r="H26" s="101">
        <f t="shared" si="2"/>
        <v>340000</v>
      </c>
      <c r="I26" s="128">
        <v>0</v>
      </c>
      <c r="J26" s="3">
        <f t="shared" si="3"/>
        <v>0</v>
      </c>
      <c r="K26" s="171"/>
      <c r="L26" s="172"/>
      <c r="M26" s="172"/>
      <c r="N26" s="173"/>
      <c r="O26" s="200"/>
      <c r="P26" s="200"/>
      <c r="Q26" s="200"/>
      <c r="R26" s="126">
        <f>+R24-R25</f>
        <v>-293752468</v>
      </c>
      <c r="S26" s="102" t="s">
        <v>227</v>
      </c>
      <c r="W26" s="13"/>
      <c r="X26" s="16"/>
      <c r="Z26" s="13"/>
      <c r="AA26" s="15"/>
    </row>
    <row r="27" spans="1:27" ht="77.25" customHeight="1" x14ac:dyDescent="0.2">
      <c r="A27" s="182" t="s">
        <v>77</v>
      </c>
      <c r="B27" s="2" t="s">
        <v>78</v>
      </c>
      <c r="C27" s="2" t="s">
        <v>0</v>
      </c>
      <c r="D27" s="9">
        <v>0</v>
      </c>
      <c r="E27" s="9">
        <f>X111</f>
        <v>8000000</v>
      </c>
      <c r="F27" s="9">
        <v>0</v>
      </c>
      <c r="G27" s="9">
        <f t="shared" si="1"/>
        <v>8000000</v>
      </c>
      <c r="H27" s="101">
        <f t="shared" si="2"/>
        <v>2000000</v>
      </c>
      <c r="I27" s="128">
        <v>6000000</v>
      </c>
      <c r="J27" s="3">
        <f t="shared" si="3"/>
        <v>0</v>
      </c>
      <c r="K27" s="197" t="s">
        <v>275</v>
      </c>
      <c r="L27" s="198"/>
      <c r="M27" s="198"/>
      <c r="N27" s="199"/>
      <c r="O27" s="200"/>
      <c r="P27" s="200"/>
      <c r="Q27" s="200"/>
      <c r="R27" s="18"/>
      <c r="S27" s="102" t="s">
        <v>228</v>
      </c>
      <c r="W27" s="14"/>
      <c r="X27" s="16"/>
      <c r="Z27" s="13"/>
      <c r="AA27" s="15"/>
    </row>
    <row r="28" spans="1:27" x14ac:dyDescent="0.2">
      <c r="A28" s="182" t="s">
        <v>79</v>
      </c>
      <c r="B28" s="2" t="s">
        <v>80</v>
      </c>
      <c r="C28" s="2" t="s">
        <v>0</v>
      </c>
      <c r="D28" s="9">
        <v>0</v>
      </c>
      <c r="E28" s="9">
        <f>X113</f>
        <v>250000</v>
      </c>
      <c r="F28" s="9">
        <v>0</v>
      </c>
      <c r="G28" s="9">
        <f t="shared" si="1"/>
        <v>250000</v>
      </c>
      <c r="H28" s="101">
        <f t="shared" si="2"/>
        <v>250000</v>
      </c>
      <c r="I28" s="128">
        <v>0</v>
      </c>
      <c r="J28" s="3">
        <f t="shared" si="3"/>
        <v>0</v>
      </c>
      <c r="K28" s="171"/>
      <c r="L28" s="172"/>
      <c r="M28" s="172"/>
      <c r="N28" s="173"/>
      <c r="O28" s="200"/>
      <c r="P28" s="200"/>
      <c r="Q28" s="200"/>
      <c r="R28" s="18"/>
      <c r="W28" s="13"/>
      <c r="X28" s="16"/>
      <c r="Z28" s="13"/>
      <c r="AA28" s="15"/>
    </row>
    <row r="29" spans="1:27" x14ac:dyDescent="0.2">
      <c r="A29" s="182" t="s">
        <v>81</v>
      </c>
      <c r="B29" s="2" t="s">
        <v>82</v>
      </c>
      <c r="C29" s="2" t="s">
        <v>0</v>
      </c>
      <c r="D29" s="9">
        <v>0</v>
      </c>
      <c r="E29" s="9">
        <f>X115</f>
        <v>200000</v>
      </c>
      <c r="F29" s="9">
        <v>0</v>
      </c>
      <c r="G29" s="9">
        <f t="shared" si="1"/>
        <v>200000</v>
      </c>
      <c r="H29" s="101">
        <f t="shared" si="2"/>
        <v>200000</v>
      </c>
      <c r="I29" s="128">
        <v>0</v>
      </c>
      <c r="J29" s="3">
        <f t="shared" si="3"/>
        <v>0</v>
      </c>
      <c r="K29" s="171"/>
      <c r="L29" s="172"/>
      <c r="M29" s="172"/>
      <c r="N29" s="173"/>
      <c r="O29" s="200"/>
      <c r="P29" s="200"/>
      <c r="Q29" s="200"/>
      <c r="S29" s="18">
        <f>+R46+R61+R69+R76+R78</f>
        <v>679004220</v>
      </c>
      <c r="W29" s="13"/>
      <c r="X29" s="13"/>
    </row>
    <row r="30" spans="1:27" x14ac:dyDescent="0.2">
      <c r="A30" s="182" t="s">
        <v>33</v>
      </c>
      <c r="B30" s="2" t="s">
        <v>34</v>
      </c>
      <c r="C30" s="2" t="s">
        <v>0</v>
      </c>
      <c r="D30" s="9">
        <f>W117</f>
        <v>1830000</v>
      </c>
      <c r="E30" s="9">
        <f>X117</f>
        <v>0</v>
      </c>
      <c r="F30" s="9">
        <f>Y117</f>
        <v>0</v>
      </c>
      <c r="G30" s="9">
        <f t="shared" si="1"/>
        <v>1830000</v>
      </c>
      <c r="H30" s="101">
        <f t="shared" si="2"/>
        <v>1830000</v>
      </c>
      <c r="I30" s="128">
        <v>0</v>
      </c>
      <c r="J30" s="3">
        <f t="shared" si="3"/>
        <v>0</v>
      </c>
      <c r="K30" s="171"/>
      <c r="L30" s="172"/>
      <c r="M30" s="172"/>
      <c r="N30" s="173"/>
      <c r="O30" s="200"/>
      <c r="P30" s="200"/>
      <c r="Q30" s="200"/>
      <c r="S30" s="18">
        <f>+S29-R24</f>
        <v>293752468</v>
      </c>
      <c r="W30" s="13"/>
      <c r="X30" s="13"/>
    </row>
    <row r="31" spans="1:27" x14ac:dyDescent="0.2">
      <c r="A31" s="182" t="s">
        <v>83</v>
      </c>
      <c r="B31" s="2" t="s">
        <v>84</v>
      </c>
      <c r="C31" s="2" t="s">
        <v>0</v>
      </c>
      <c r="D31" s="9">
        <v>0</v>
      </c>
      <c r="E31" s="9">
        <f>X119</f>
        <v>1500000</v>
      </c>
      <c r="F31" s="9">
        <v>0</v>
      </c>
      <c r="G31" s="9">
        <f t="shared" si="1"/>
        <v>1500000</v>
      </c>
      <c r="H31" s="101">
        <f t="shared" si="2"/>
        <v>1500000</v>
      </c>
      <c r="I31" s="128">
        <v>0</v>
      </c>
      <c r="J31" s="3">
        <f t="shared" si="3"/>
        <v>0</v>
      </c>
      <c r="K31" s="171"/>
      <c r="L31" s="172"/>
      <c r="M31" s="172"/>
      <c r="N31" s="173"/>
      <c r="O31" s="200"/>
      <c r="P31" s="200"/>
      <c r="Q31" s="200"/>
      <c r="W31" s="13"/>
      <c r="X31" s="13"/>
    </row>
    <row r="32" spans="1:27" ht="63.75" customHeight="1" x14ac:dyDescent="0.2">
      <c r="A32" s="182" t="s">
        <v>85</v>
      </c>
      <c r="B32" s="2" t="s">
        <v>86</v>
      </c>
      <c r="C32" s="2" t="s">
        <v>0</v>
      </c>
      <c r="D32" s="9">
        <v>0</v>
      </c>
      <c r="E32" s="9">
        <f>T121</f>
        <v>18000000</v>
      </c>
      <c r="F32" s="9">
        <v>0</v>
      </c>
      <c r="G32" s="9">
        <f t="shared" si="1"/>
        <v>18000000</v>
      </c>
      <c r="H32" s="101">
        <f t="shared" si="2"/>
        <v>12208750</v>
      </c>
      <c r="I32" s="128">
        <v>5791250</v>
      </c>
      <c r="J32" s="3">
        <f t="shared" si="3"/>
        <v>0</v>
      </c>
      <c r="K32" s="197" t="s">
        <v>276</v>
      </c>
      <c r="L32" s="198"/>
      <c r="M32" s="198"/>
      <c r="N32" s="199"/>
      <c r="O32" s="200"/>
      <c r="P32" s="200"/>
      <c r="Q32" s="200"/>
      <c r="W32" s="13"/>
      <c r="X32" s="13"/>
    </row>
    <row r="33" spans="1:26" ht="70.5" customHeight="1" x14ac:dyDescent="0.2">
      <c r="A33" s="182" t="s">
        <v>35</v>
      </c>
      <c r="B33" s="2" t="s">
        <v>36</v>
      </c>
      <c r="C33" s="2" t="s">
        <v>0</v>
      </c>
      <c r="D33" s="9">
        <v>0</v>
      </c>
      <c r="E33" s="9">
        <f>X123</f>
        <v>4500000</v>
      </c>
      <c r="F33" s="9">
        <v>0</v>
      </c>
      <c r="G33" s="9">
        <f t="shared" si="1"/>
        <v>4500000</v>
      </c>
      <c r="H33" s="101">
        <f t="shared" si="2"/>
        <v>1777232</v>
      </c>
      <c r="I33" s="128">
        <v>2722768</v>
      </c>
      <c r="J33" s="3">
        <f t="shared" si="3"/>
        <v>0</v>
      </c>
      <c r="K33" s="197" t="s">
        <v>277</v>
      </c>
      <c r="L33" s="198"/>
      <c r="M33" s="198"/>
      <c r="N33" s="199"/>
      <c r="O33" s="200"/>
      <c r="P33" s="200"/>
      <c r="Q33" s="200"/>
      <c r="X33" s="13"/>
    </row>
    <row r="34" spans="1:26" x14ac:dyDescent="0.2">
      <c r="A34" s="182" t="s">
        <v>37</v>
      </c>
      <c r="B34" s="2" t="s">
        <v>38</v>
      </c>
      <c r="C34" s="2" t="s">
        <v>0</v>
      </c>
      <c r="D34" s="9">
        <v>250000</v>
      </c>
      <c r="E34" s="9">
        <v>250000</v>
      </c>
      <c r="F34" s="9">
        <v>250000</v>
      </c>
      <c r="G34" s="9">
        <f t="shared" si="1"/>
        <v>750000</v>
      </c>
      <c r="H34" s="101">
        <f t="shared" si="2"/>
        <v>750000</v>
      </c>
      <c r="I34" s="128">
        <v>0</v>
      </c>
      <c r="J34" s="3">
        <f t="shared" si="3"/>
        <v>0</v>
      </c>
      <c r="K34" s="171"/>
      <c r="L34" s="172"/>
      <c r="M34" s="172"/>
      <c r="N34" s="173"/>
      <c r="O34" s="200"/>
      <c r="P34" s="200"/>
      <c r="Q34" s="200"/>
      <c r="V34" s="127" t="e">
        <f>+#REF!</f>
        <v>#REF!</v>
      </c>
      <c r="W34" s="127" t="e">
        <f>+#REF!</f>
        <v>#REF!</v>
      </c>
      <c r="X34" s="13"/>
    </row>
    <row r="35" spans="1:26" ht="51" customHeight="1" thickBot="1" x14ac:dyDescent="0.25">
      <c r="A35" s="182" t="s">
        <v>39</v>
      </c>
      <c r="B35" s="2" t="s">
        <v>40</v>
      </c>
      <c r="C35" s="2" t="s">
        <v>0</v>
      </c>
      <c r="D35" s="9">
        <v>4750000</v>
      </c>
      <c r="E35" s="9">
        <v>4500000</v>
      </c>
      <c r="F35" s="9">
        <v>4750000</v>
      </c>
      <c r="G35" s="9">
        <f t="shared" si="1"/>
        <v>14000000</v>
      </c>
      <c r="H35" s="101">
        <f t="shared" si="2"/>
        <v>5000000</v>
      </c>
      <c r="I35" s="128">
        <v>9000000</v>
      </c>
      <c r="J35" s="3">
        <f t="shared" si="3"/>
        <v>0</v>
      </c>
      <c r="K35" s="197" t="s">
        <v>289</v>
      </c>
      <c r="L35" s="198"/>
      <c r="M35" s="198"/>
      <c r="N35" s="199"/>
      <c r="O35" s="200"/>
      <c r="P35" s="200"/>
      <c r="Q35" s="200"/>
      <c r="T35" s="52"/>
      <c r="V35" s="129" t="e">
        <f>+#REF!</f>
        <v>#REF!</v>
      </c>
      <c r="W35" s="127" t="e">
        <f>+#REF!</f>
        <v>#REF!</v>
      </c>
      <c r="X35" s="13"/>
    </row>
    <row r="36" spans="1:26" ht="12.75" hidden="1" customHeight="1" x14ac:dyDescent="0.2">
      <c r="A36" s="182" t="s">
        <v>87</v>
      </c>
      <c r="B36" s="2" t="s">
        <v>88</v>
      </c>
      <c r="C36" s="2" t="s">
        <v>0</v>
      </c>
      <c r="D36" s="9">
        <v>0</v>
      </c>
      <c r="E36" s="9">
        <v>0</v>
      </c>
      <c r="F36" s="9">
        <v>0</v>
      </c>
      <c r="G36" s="9">
        <f t="shared" si="1"/>
        <v>0</v>
      </c>
      <c r="H36" s="101">
        <f t="shared" si="2"/>
        <v>0</v>
      </c>
      <c r="I36" s="128"/>
      <c r="J36" s="3">
        <f t="shared" si="3"/>
        <v>0</v>
      </c>
      <c r="K36" s="171"/>
      <c r="L36" s="172"/>
      <c r="M36" s="172"/>
      <c r="N36" s="173"/>
      <c r="O36" s="200"/>
      <c r="P36" s="200"/>
      <c r="Q36" s="200"/>
      <c r="X36" s="13"/>
    </row>
    <row r="37" spans="1:26" ht="13.5" hidden="1" customHeight="1" thickBot="1" x14ac:dyDescent="0.25">
      <c r="A37" s="182" t="s">
        <v>89</v>
      </c>
      <c r="B37" s="2" t="s">
        <v>90</v>
      </c>
      <c r="C37" s="2" t="s">
        <v>0</v>
      </c>
      <c r="D37" s="9">
        <v>0</v>
      </c>
      <c r="E37" s="9">
        <v>0</v>
      </c>
      <c r="F37" s="9">
        <v>0</v>
      </c>
      <c r="G37" s="9">
        <f t="shared" si="1"/>
        <v>0</v>
      </c>
      <c r="H37" s="101">
        <f t="shared" si="2"/>
        <v>0</v>
      </c>
      <c r="I37" s="128"/>
      <c r="J37" s="3">
        <f t="shared" si="3"/>
        <v>0</v>
      </c>
      <c r="K37" s="171"/>
      <c r="L37" s="172"/>
      <c r="M37" s="172"/>
      <c r="N37" s="173"/>
      <c r="O37" s="200"/>
      <c r="P37" s="200"/>
      <c r="Q37" s="200"/>
      <c r="V37" s="18">
        <f>+G73</f>
        <v>20000000</v>
      </c>
      <c r="W37" s="102" t="s">
        <v>230</v>
      </c>
      <c r="X37">
        <v>60301</v>
      </c>
    </row>
    <row r="38" spans="1:26" ht="59.25" customHeight="1" x14ac:dyDescent="0.2">
      <c r="A38" s="182" t="s">
        <v>41</v>
      </c>
      <c r="B38" s="2" t="s">
        <v>42</v>
      </c>
      <c r="C38" s="2" t="s">
        <v>0</v>
      </c>
      <c r="D38" s="9">
        <v>0</v>
      </c>
      <c r="E38" s="9">
        <f>X129</f>
        <v>16000000</v>
      </c>
      <c r="F38" s="9">
        <v>0</v>
      </c>
      <c r="G38" s="9">
        <f t="shared" si="1"/>
        <v>16000000</v>
      </c>
      <c r="H38" s="101">
        <f t="shared" si="2"/>
        <v>10000000</v>
      </c>
      <c r="I38" s="128">
        <v>6000000</v>
      </c>
      <c r="J38" s="3">
        <f t="shared" si="3"/>
        <v>0</v>
      </c>
      <c r="K38" s="198" t="s">
        <v>278</v>
      </c>
      <c r="L38" s="198"/>
      <c r="M38" s="198"/>
      <c r="N38" s="199"/>
      <c r="O38" s="200"/>
      <c r="P38" s="200"/>
      <c r="Q38" s="200"/>
      <c r="T38" s="130"/>
      <c r="V38" s="52">
        <f>18000000</f>
        <v>18000000</v>
      </c>
      <c r="W38" s="102" t="s">
        <v>231</v>
      </c>
      <c r="X38">
        <v>10808</v>
      </c>
    </row>
    <row r="39" spans="1:26" x14ac:dyDescent="0.2">
      <c r="A39" s="182" t="s">
        <v>43</v>
      </c>
      <c r="B39" s="2" t="s">
        <v>44</v>
      </c>
      <c r="C39" s="2" t="s">
        <v>0</v>
      </c>
      <c r="D39" s="9">
        <f>W136</f>
        <v>500000</v>
      </c>
      <c r="E39" s="9">
        <f>X136</f>
        <v>1000000</v>
      </c>
      <c r="F39" s="9">
        <f>Y136</f>
        <v>500000</v>
      </c>
      <c r="G39" s="9">
        <f t="shared" si="1"/>
        <v>2000000</v>
      </c>
      <c r="H39" s="101">
        <f t="shared" si="2"/>
        <v>2000000</v>
      </c>
      <c r="I39" s="128">
        <v>0</v>
      </c>
      <c r="J39" s="3">
        <f t="shared" si="3"/>
        <v>0</v>
      </c>
      <c r="K39" s="171"/>
      <c r="L39" s="172"/>
      <c r="M39" s="172"/>
      <c r="N39" s="173"/>
      <c r="O39" s="200"/>
      <c r="P39" s="200"/>
      <c r="Q39" s="200"/>
      <c r="T39" s="131">
        <f>+V37+V38+V39+V40+V41+V42+V43+V44+V45+V46+V47+V48+V49+V50+V51+V52+V53+V54+V55+V56+V57+V58+V59+V60+V61+V62+V63+V64+V65+V66+V67+V68+V70+V69+V71</f>
        <v>232915000</v>
      </c>
      <c r="V39" s="52">
        <v>4000000</v>
      </c>
      <c r="W39" s="102" t="s">
        <v>232</v>
      </c>
      <c r="X39">
        <v>10406</v>
      </c>
    </row>
    <row r="40" spans="1:26" ht="64.5" customHeight="1" x14ac:dyDescent="0.2">
      <c r="A40" s="182" t="s">
        <v>45</v>
      </c>
      <c r="B40" s="2" t="s">
        <v>46</v>
      </c>
      <c r="C40" s="2" t="s">
        <v>0</v>
      </c>
      <c r="D40" s="9">
        <v>0</v>
      </c>
      <c r="E40" s="9">
        <f>X138</f>
        <v>10000000</v>
      </c>
      <c r="F40" s="9">
        <v>0</v>
      </c>
      <c r="G40" s="9">
        <f t="shared" si="1"/>
        <v>10000000</v>
      </c>
      <c r="H40" s="101">
        <f t="shared" si="2"/>
        <v>7000000</v>
      </c>
      <c r="I40" s="128">
        <v>3000000</v>
      </c>
      <c r="J40" s="3">
        <f t="shared" si="3"/>
        <v>0</v>
      </c>
      <c r="K40" s="197" t="s">
        <v>290</v>
      </c>
      <c r="L40" s="198"/>
      <c r="M40" s="198"/>
      <c r="N40" s="199"/>
      <c r="O40" s="200"/>
      <c r="P40" s="200"/>
      <c r="Q40" s="200"/>
      <c r="T40" s="132"/>
      <c r="V40" s="52">
        <v>15000000</v>
      </c>
      <c r="W40" s="102" t="s">
        <v>233</v>
      </c>
      <c r="X40">
        <v>10103</v>
      </c>
      <c r="Z40" s="13"/>
    </row>
    <row r="41" spans="1:26" ht="12.75" hidden="1" customHeight="1" x14ac:dyDescent="0.2">
      <c r="A41" s="182" t="s">
        <v>91</v>
      </c>
      <c r="B41" s="2" t="s">
        <v>92</v>
      </c>
      <c r="C41" s="2" t="s">
        <v>0</v>
      </c>
      <c r="D41" s="9">
        <v>0</v>
      </c>
      <c r="E41" s="9">
        <v>0</v>
      </c>
      <c r="F41" s="9">
        <v>0</v>
      </c>
      <c r="G41" s="9">
        <f t="shared" si="1"/>
        <v>0</v>
      </c>
      <c r="H41" s="101">
        <f t="shared" si="2"/>
        <v>0</v>
      </c>
      <c r="I41" s="128"/>
      <c r="J41" s="3">
        <f t="shared" si="3"/>
        <v>0</v>
      </c>
      <c r="K41" s="171"/>
      <c r="L41" s="172"/>
      <c r="M41" s="172"/>
      <c r="N41" s="173"/>
      <c r="O41" s="200"/>
      <c r="P41" s="200"/>
      <c r="Q41" s="200"/>
      <c r="R41" s="18">
        <f>+G43-F43</f>
        <v>21000000</v>
      </c>
      <c r="T41" s="132"/>
      <c r="V41" s="52">
        <v>1500000</v>
      </c>
      <c r="W41" s="102" t="s">
        <v>234</v>
      </c>
      <c r="X41">
        <v>201</v>
      </c>
    </row>
    <row r="42" spans="1:26" ht="21.75" hidden="1" customHeight="1" x14ac:dyDescent="0.2">
      <c r="A42" s="182" t="s">
        <v>93</v>
      </c>
      <c r="B42" s="2" t="s">
        <v>94</v>
      </c>
      <c r="C42" s="2" t="s">
        <v>0</v>
      </c>
      <c r="D42" s="9">
        <v>0</v>
      </c>
      <c r="E42" s="9">
        <v>0</v>
      </c>
      <c r="F42" s="9">
        <v>0</v>
      </c>
      <c r="G42" s="9">
        <f t="shared" si="1"/>
        <v>0</v>
      </c>
      <c r="H42" s="101">
        <f t="shared" si="2"/>
        <v>0</v>
      </c>
      <c r="I42" s="128"/>
      <c r="J42" s="3">
        <f t="shared" si="3"/>
        <v>0</v>
      </c>
      <c r="K42" s="171"/>
      <c r="L42" s="172"/>
      <c r="M42" s="172"/>
      <c r="N42" s="173"/>
      <c r="O42" s="200"/>
      <c r="P42" s="200"/>
      <c r="Q42" s="200"/>
      <c r="T42" s="133" t="e">
        <f>+T39-V35</f>
        <v>#REF!</v>
      </c>
      <c r="V42" s="52">
        <v>1500000</v>
      </c>
      <c r="W42" s="102" t="s">
        <v>235</v>
      </c>
      <c r="X42">
        <v>10201</v>
      </c>
    </row>
    <row r="43" spans="1:26" ht="105" customHeight="1" thickBot="1" x14ac:dyDescent="0.25">
      <c r="A43" s="182" t="s">
        <v>47</v>
      </c>
      <c r="B43" s="2" t="s">
        <v>48</v>
      </c>
      <c r="C43" s="2" t="s">
        <v>0</v>
      </c>
      <c r="D43" s="9">
        <v>0</v>
      </c>
      <c r="E43" s="9">
        <f>X144</f>
        <v>21000000</v>
      </c>
      <c r="F43" s="9">
        <f>Y144</f>
        <v>2100000</v>
      </c>
      <c r="G43" s="9">
        <f t="shared" si="1"/>
        <v>23100000</v>
      </c>
      <c r="H43" s="101">
        <f t="shared" si="2"/>
        <v>3425424</v>
      </c>
      <c r="I43" s="128">
        <v>19674576</v>
      </c>
      <c r="J43" s="3">
        <f t="shared" si="3"/>
        <v>0</v>
      </c>
      <c r="K43" s="197" t="s">
        <v>279</v>
      </c>
      <c r="L43" s="198"/>
      <c r="M43" s="198"/>
      <c r="N43" s="199"/>
      <c r="O43" s="200"/>
      <c r="P43" s="200"/>
      <c r="Q43" s="200"/>
      <c r="R43">
        <v>23000000</v>
      </c>
      <c r="S43" s="18">
        <f>+G43-R43</f>
        <v>100000</v>
      </c>
      <c r="T43" s="134"/>
      <c r="V43" s="52">
        <v>7000000</v>
      </c>
      <c r="W43" s="102" t="s">
        <v>236</v>
      </c>
      <c r="X43">
        <v>10202</v>
      </c>
    </row>
    <row r="44" spans="1:26" x14ac:dyDescent="0.2">
      <c r="A44" s="182" t="s">
        <v>95</v>
      </c>
      <c r="B44" s="2" t="s">
        <v>96</v>
      </c>
      <c r="C44" s="2" t="s">
        <v>0</v>
      </c>
      <c r="D44" s="9">
        <v>0</v>
      </c>
      <c r="E44" s="9">
        <f>X147</f>
        <v>300000</v>
      </c>
      <c r="F44" s="9">
        <v>0</v>
      </c>
      <c r="G44" s="9">
        <f t="shared" si="1"/>
        <v>300000</v>
      </c>
      <c r="H44" s="101">
        <f t="shared" si="2"/>
        <v>300000</v>
      </c>
      <c r="I44" s="128">
        <v>0</v>
      </c>
      <c r="J44" s="3">
        <f t="shared" si="3"/>
        <v>0</v>
      </c>
      <c r="K44" s="171"/>
      <c r="L44" s="172"/>
      <c r="M44" s="172"/>
      <c r="N44" s="173"/>
      <c r="O44" s="200"/>
      <c r="P44" s="200"/>
      <c r="Q44" s="200"/>
      <c r="R44" s="18"/>
      <c r="V44" s="52">
        <v>4500000</v>
      </c>
      <c r="W44" s="102" t="s">
        <v>237</v>
      </c>
      <c r="X44">
        <v>10204</v>
      </c>
    </row>
    <row r="45" spans="1:26" x14ac:dyDescent="0.2">
      <c r="A45" s="182" t="s">
        <v>97</v>
      </c>
      <c r="B45" s="2" t="s">
        <v>98</v>
      </c>
      <c r="C45" s="2" t="s">
        <v>0</v>
      </c>
      <c r="D45" s="9">
        <v>0</v>
      </c>
      <c r="E45" s="9">
        <f>X149</f>
        <v>450000</v>
      </c>
      <c r="F45" s="9">
        <v>0</v>
      </c>
      <c r="G45" s="9">
        <f t="shared" si="1"/>
        <v>450000</v>
      </c>
      <c r="H45" s="101">
        <f t="shared" si="2"/>
        <v>450000</v>
      </c>
      <c r="I45" s="128">
        <v>0</v>
      </c>
      <c r="J45" s="3">
        <f t="shared" si="3"/>
        <v>0</v>
      </c>
      <c r="K45" s="180"/>
      <c r="L45" s="180"/>
      <c r="M45" s="180"/>
      <c r="N45" s="180"/>
      <c r="O45" s="200"/>
      <c r="P45" s="200"/>
      <c r="Q45" s="200"/>
      <c r="V45" s="52">
        <v>4000000</v>
      </c>
      <c r="W45" s="102" t="s">
        <v>238</v>
      </c>
      <c r="X45">
        <v>10301</v>
      </c>
    </row>
    <row r="46" spans="1:26" x14ac:dyDescent="0.2">
      <c r="A46" s="182" t="s">
        <v>99</v>
      </c>
      <c r="B46" s="2" t="s">
        <v>100</v>
      </c>
      <c r="C46" s="2" t="s">
        <v>0</v>
      </c>
      <c r="D46" s="9">
        <v>0</v>
      </c>
      <c r="E46" s="9">
        <f>X151</f>
        <v>50000</v>
      </c>
      <c r="F46" s="9">
        <v>0</v>
      </c>
      <c r="G46" s="9">
        <f t="shared" si="1"/>
        <v>50000</v>
      </c>
      <c r="H46" s="101">
        <f t="shared" si="2"/>
        <v>50000</v>
      </c>
      <c r="I46" s="128">
        <v>0</v>
      </c>
      <c r="J46" s="3">
        <f t="shared" si="3"/>
        <v>0</v>
      </c>
      <c r="K46" s="180"/>
      <c r="L46" s="180"/>
      <c r="M46" s="180"/>
      <c r="N46" s="180"/>
      <c r="O46" s="200"/>
      <c r="P46" s="200"/>
      <c r="Q46" s="200"/>
      <c r="R46" s="18">
        <f>+G18+G20+G21+G22+G23+G24+G25+G26+G28+G27+G29+G30+G31+G32+G33+G34+G35+G38+G39+G40+G41+G42+G36+G37+G43+G44+G45+G46+G47</f>
        <v>571523752</v>
      </c>
      <c r="S46" s="102" t="s">
        <v>213</v>
      </c>
      <c r="V46" s="52">
        <v>1695000</v>
      </c>
      <c r="W46" s="102" t="s">
        <v>260</v>
      </c>
      <c r="X46">
        <v>10307</v>
      </c>
    </row>
    <row r="47" spans="1:26" ht="60.75" customHeight="1" x14ac:dyDescent="0.2">
      <c r="A47" s="183" t="s">
        <v>49</v>
      </c>
      <c r="B47" s="169" t="s">
        <v>50</v>
      </c>
      <c r="C47" s="169" t="s">
        <v>0</v>
      </c>
      <c r="D47" s="11">
        <v>0</v>
      </c>
      <c r="E47" s="11">
        <f>X153</f>
        <v>1000000</v>
      </c>
      <c r="F47" s="11">
        <v>0</v>
      </c>
      <c r="G47" s="11">
        <f t="shared" si="1"/>
        <v>1000000</v>
      </c>
      <c r="H47" s="101">
        <f t="shared" si="2"/>
        <v>400000</v>
      </c>
      <c r="I47" s="148">
        <v>600000</v>
      </c>
      <c r="J47" s="3">
        <f t="shared" si="3"/>
        <v>0</v>
      </c>
      <c r="K47" s="197" t="s">
        <v>280</v>
      </c>
      <c r="L47" s="198"/>
      <c r="M47" s="198"/>
      <c r="N47" s="199"/>
      <c r="O47" s="200"/>
      <c r="P47" s="200"/>
      <c r="Q47" s="200"/>
      <c r="V47" s="52">
        <v>1500000</v>
      </c>
      <c r="W47" s="102" t="s">
        <v>239</v>
      </c>
      <c r="X47">
        <v>10403</v>
      </c>
    </row>
    <row r="48" spans="1:26" ht="15.75" x14ac:dyDescent="0.2">
      <c r="A48" s="184"/>
      <c r="B48" s="144" t="s">
        <v>141</v>
      </c>
      <c r="C48" s="30"/>
      <c r="D48" s="146"/>
      <c r="E48" s="146"/>
      <c r="F48" s="146"/>
      <c r="G48" s="205"/>
      <c r="H48" s="206"/>
      <c r="I48" s="207"/>
      <c r="J48" s="3">
        <f t="shared" si="3"/>
        <v>0</v>
      </c>
      <c r="K48" s="174"/>
      <c r="L48" s="175"/>
      <c r="M48" s="175"/>
      <c r="N48" s="176"/>
      <c r="O48" s="3"/>
      <c r="P48" s="3"/>
      <c r="Q48" s="3"/>
      <c r="V48" s="52">
        <f>2800000</f>
        <v>2800000</v>
      </c>
      <c r="W48" s="102" t="s">
        <v>240</v>
      </c>
      <c r="X48">
        <v>10499</v>
      </c>
    </row>
    <row r="49" spans="1:24" ht="51.75" customHeight="1" x14ac:dyDescent="0.2">
      <c r="A49" s="182" t="s">
        <v>51</v>
      </c>
      <c r="B49" s="2" t="s">
        <v>52</v>
      </c>
      <c r="C49" s="2" t="s">
        <v>0</v>
      </c>
      <c r="D49" s="9">
        <v>3200000</v>
      </c>
      <c r="E49" s="9">
        <v>3600000</v>
      </c>
      <c r="F49" s="9">
        <v>3200000</v>
      </c>
      <c r="G49" s="9">
        <f>D49+E49+F49</f>
        <v>10000000</v>
      </c>
      <c r="H49" s="152">
        <f>+G49-I49</f>
        <v>4000000</v>
      </c>
      <c r="I49" s="128">
        <v>6000000</v>
      </c>
      <c r="J49" s="3">
        <f t="shared" si="3"/>
        <v>0</v>
      </c>
      <c r="K49" s="197" t="s">
        <v>291</v>
      </c>
      <c r="L49" s="198"/>
      <c r="M49" s="198"/>
      <c r="N49" s="199"/>
      <c r="O49" s="3"/>
      <c r="P49" s="3"/>
      <c r="Q49" s="3"/>
      <c r="V49" s="52">
        <v>7500000</v>
      </c>
      <c r="W49" s="102" t="s">
        <v>241</v>
      </c>
      <c r="X49">
        <v>10502</v>
      </c>
    </row>
    <row r="50" spans="1:24" x14ac:dyDescent="0.2">
      <c r="A50" s="182" t="s">
        <v>101</v>
      </c>
      <c r="B50" s="2" t="s">
        <v>102</v>
      </c>
      <c r="C50" s="2" t="s">
        <v>0</v>
      </c>
      <c r="D50" s="9">
        <f>W157</f>
        <v>0</v>
      </c>
      <c r="E50" s="9">
        <f>X157</f>
        <v>751000</v>
      </c>
      <c r="F50" s="9">
        <f>Y157</f>
        <v>49000</v>
      </c>
      <c r="G50" s="9">
        <f t="shared" ref="G50:G60" si="4">D50+E50+F50</f>
        <v>800000</v>
      </c>
      <c r="H50" s="152">
        <f t="shared" ref="H50:H60" si="5">+G50-I50</f>
        <v>800000</v>
      </c>
      <c r="I50" s="128">
        <v>0</v>
      </c>
      <c r="J50" s="3">
        <f t="shared" si="3"/>
        <v>0</v>
      </c>
      <c r="K50" s="177"/>
      <c r="L50" s="178"/>
      <c r="M50" s="178"/>
      <c r="N50" s="179"/>
      <c r="O50" s="3"/>
      <c r="P50" s="3"/>
      <c r="Q50" s="3"/>
      <c r="V50" s="52">
        <v>6000000</v>
      </c>
      <c r="W50" s="102" t="s">
        <v>242</v>
      </c>
      <c r="X50">
        <v>10601</v>
      </c>
    </row>
    <row r="51" spans="1:24" ht="81.75" customHeight="1" x14ac:dyDescent="0.2">
      <c r="A51" s="182" t="s">
        <v>103</v>
      </c>
      <c r="B51" s="2" t="s">
        <v>104</v>
      </c>
      <c r="C51" s="2" t="s">
        <v>0</v>
      </c>
      <c r="D51" s="9">
        <f>W159</f>
        <v>0</v>
      </c>
      <c r="E51" s="9">
        <f>X159</f>
        <v>1198000</v>
      </c>
      <c r="F51" s="9">
        <f>Y159</f>
        <v>902000</v>
      </c>
      <c r="G51" s="9">
        <f t="shared" si="4"/>
        <v>2100000</v>
      </c>
      <c r="H51" s="152">
        <f t="shared" si="5"/>
        <v>900000</v>
      </c>
      <c r="I51" s="128">
        <v>1200000</v>
      </c>
      <c r="J51" s="3">
        <f t="shared" si="3"/>
        <v>0</v>
      </c>
      <c r="K51" s="197" t="s">
        <v>292</v>
      </c>
      <c r="L51" s="198"/>
      <c r="M51" s="198"/>
      <c r="N51" s="199"/>
      <c r="O51" s="3"/>
      <c r="P51" s="3"/>
      <c r="Q51" s="3"/>
      <c r="V51" s="52">
        <v>1500000</v>
      </c>
      <c r="W51" s="102" t="s">
        <v>243</v>
      </c>
      <c r="X51">
        <v>10701</v>
      </c>
    </row>
    <row r="52" spans="1:24" x14ac:dyDescent="0.2">
      <c r="A52" s="182" t="s">
        <v>105</v>
      </c>
      <c r="B52" s="2" t="s">
        <v>106</v>
      </c>
      <c r="C52" s="2" t="s">
        <v>0</v>
      </c>
      <c r="D52" s="9">
        <f>W161</f>
        <v>0</v>
      </c>
      <c r="E52" s="9">
        <f>X161</f>
        <v>50000</v>
      </c>
      <c r="F52" s="9">
        <f>Y161</f>
        <v>0</v>
      </c>
      <c r="G52" s="9">
        <f t="shared" si="4"/>
        <v>50000</v>
      </c>
      <c r="H52" s="152">
        <f t="shared" si="5"/>
        <v>50000</v>
      </c>
      <c r="I52" s="128">
        <v>0</v>
      </c>
      <c r="J52" s="3">
        <f t="shared" si="3"/>
        <v>0</v>
      </c>
      <c r="K52" s="177"/>
      <c r="L52" s="178"/>
      <c r="M52" s="178"/>
      <c r="N52" s="179"/>
      <c r="O52" s="3"/>
      <c r="P52" s="3"/>
      <c r="Q52" s="3"/>
      <c r="R52" s="18">
        <f>8700000+8600000+12800000</f>
        <v>30100000</v>
      </c>
      <c r="V52" s="52">
        <v>2000000</v>
      </c>
      <c r="W52" s="102" t="s">
        <v>244</v>
      </c>
      <c r="X52">
        <v>10805</v>
      </c>
    </row>
    <row r="53" spans="1:24" x14ac:dyDescent="0.2">
      <c r="A53" s="182" t="s">
        <v>107</v>
      </c>
      <c r="B53" s="2" t="s">
        <v>108</v>
      </c>
      <c r="C53" s="2" t="s">
        <v>0</v>
      </c>
      <c r="D53" s="9">
        <f>W163</f>
        <v>0</v>
      </c>
      <c r="E53" s="9">
        <f>X163</f>
        <v>411000</v>
      </c>
      <c r="F53" s="9">
        <f>Y163</f>
        <v>0</v>
      </c>
      <c r="G53" s="9">
        <f t="shared" si="4"/>
        <v>411000</v>
      </c>
      <c r="H53" s="152">
        <f t="shared" si="5"/>
        <v>411000</v>
      </c>
      <c r="I53" s="128">
        <v>0</v>
      </c>
      <c r="J53" s="3">
        <f t="shared" si="3"/>
        <v>0</v>
      </c>
      <c r="K53" s="177"/>
      <c r="L53" s="178"/>
      <c r="M53" s="178"/>
      <c r="N53" s="179"/>
      <c r="O53" s="3"/>
      <c r="P53" s="3"/>
      <c r="Q53" s="3"/>
      <c r="V53" s="52">
        <v>6000000</v>
      </c>
      <c r="W53" s="102" t="s">
        <v>245</v>
      </c>
      <c r="X53">
        <v>20101</v>
      </c>
    </row>
    <row r="54" spans="1:24" ht="130.5" customHeight="1" x14ac:dyDescent="0.2">
      <c r="A54" s="182" t="s">
        <v>53</v>
      </c>
      <c r="B54" s="2" t="s">
        <v>54</v>
      </c>
      <c r="C54" s="2" t="s">
        <v>0</v>
      </c>
      <c r="D54" s="9">
        <f>W165</f>
        <v>0</v>
      </c>
      <c r="E54" s="9">
        <f>X165</f>
        <v>5537000</v>
      </c>
      <c r="F54" s="9">
        <f>Y165</f>
        <v>0</v>
      </c>
      <c r="G54" s="9">
        <f t="shared" si="4"/>
        <v>5537000</v>
      </c>
      <c r="H54" s="152">
        <f t="shared" si="5"/>
        <v>0</v>
      </c>
      <c r="I54" s="128">
        <f>+G54</f>
        <v>5537000</v>
      </c>
      <c r="J54" s="3">
        <f t="shared" si="3"/>
        <v>0</v>
      </c>
      <c r="K54" s="197" t="s">
        <v>281</v>
      </c>
      <c r="L54" s="198"/>
      <c r="M54" s="198"/>
      <c r="N54" s="199"/>
      <c r="O54" s="3"/>
      <c r="P54" s="3"/>
      <c r="Q54" s="3"/>
      <c r="V54" s="52">
        <v>800000</v>
      </c>
      <c r="W54" s="102" t="s">
        <v>246</v>
      </c>
      <c r="X54">
        <v>20102</v>
      </c>
    </row>
    <row r="55" spans="1:24" x14ac:dyDescent="0.2">
      <c r="A55" s="182" t="s">
        <v>109</v>
      </c>
      <c r="B55" s="2" t="s">
        <v>110</v>
      </c>
      <c r="C55" s="2" t="s">
        <v>0</v>
      </c>
      <c r="D55" s="9">
        <f>W167</f>
        <v>0</v>
      </c>
      <c r="E55" s="9">
        <f>X167</f>
        <v>170000</v>
      </c>
      <c r="F55" s="9">
        <f>Y167</f>
        <v>0</v>
      </c>
      <c r="G55" s="9">
        <f t="shared" si="4"/>
        <v>170000</v>
      </c>
      <c r="H55" s="152">
        <f t="shared" si="5"/>
        <v>170000</v>
      </c>
      <c r="I55" s="128">
        <v>0</v>
      </c>
      <c r="J55" s="3">
        <f t="shared" si="3"/>
        <v>0</v>
      </c>
      <c r="K55" s="177"/>
      <c r="L55" s="178"/>
      <c r="M55" s="178"/>
      <c r="N55" s="179"/>
      <c r="O55" s="3"/>
      <c r="P55" s="3"/>
      <c r="Q55" s="3"/>
      <c r="V55" s="52">
        <v>1100000</v>
      </c>
      <c r="W55" s="102" t="s">
        <v>247</v>
      </c>
      <c r="X55">
        <v>20104</v>
      </c>
    </row>
    <row r="56" spans="1:24" ht="154.5" customHeight="1" x14ac:dyDescent="0.2">
      <c r="A56" s="182" t="s">
        <v>111</v>
      </c>
      <c r="B56" s="2" t="s">
        <v>112</v>
      </c>
      <c r="C56" s="2" t="s">
        <v>0</v>
      </c>
      <c r="D56" s="9">
        <f>W169</f>
        <v>0</v>
      </c>
      <c r="E56" s="9">
        <f>X169</f>
        <v>876000</v>
      </c>
      <c r="F56" s="9">
        <f>Y169</f>
        <v>0</v>
      </c>
      <c r="G56" s="9">
        <f t="shared" si="4"/>
        <v>876000</v>
      </c>
      <c r="H56" s="152">
        <f t="shared" si="5"/>
        <v>0</v>
      </c>
      <c r="I56" s="128">
        <f>+G56</f>
        <v>876000</v>
      </c>
      <c r="J56" s="3">
        <f t="shared" si="3"/>
        <v>0</v>
      </c>
      <c r="K56" s="197" t="s">
        <v>282</v>
      </c>
      <c r="L56" s="198"/>
      <c r="M56" s="198"/>
      <c r="N56" s="199"/>
      <c r="O56" s="3"/>
      <c r="P56" s="3"/>
      <c r="Q56" s="3"/>
      <c r="V56" s="52">
        <v>411000</v>
      </c>
      <c r="W56" s="102" t="s">
        <v>248</v>
      </c>
      <c r="X56">
        <v>20203</v>
      </c>
    </row>
    <row r="57" spans="1:24" ht="57" customHeight="1" x14ac:dyDescent="0.2">
      <c r="A57" s="182" t="s">
        <v>55</v>
      </c>
      <c r="B57" s="2" t="s">
        <v>56</v>
      </c>
      <c r="C57" s="2" t="s">
        <v>0</v>
      </c>
      <c r="D57" s="9">
        <f>W171</f>
        <v>308000</v>
      </c>
      <c r="E57" s="9">
        <f>X171</f>
        <v>297500</v>
      </c>
      <c r="F57" s="9">
        <f>Y171</f>
        <v>353000</v>
      </c>
      <c r="G57" s="9">
        <f t="shared" si="4"/>
        <v>958500</v>
      </c>
      <c r="H57" s="152">
        <f t="shared" si="5"/>
        <v>297500</v>
      </c>
      <c r="I57" s="128">
        <v>661000</v>
      </c>
      <c r="J57" s="3">
        <f t="shared" si="3"/>
        <v>0</v>
      </c>
      <c r="K57" s="197" t="s">
        <v>294</v>
      </c>
      <c r="L57" s="198"/>
      <c r="M57" s="198"/>
      <c r="N57" s="199"/>
      <c r="O57" s="3"/>
      <c r="P57" s="3"/>
      <c r="Q57" s="3"/>
      <c r="V57" s="52">
        <f>+G54</f>
        <v>5537000</v>
      </c>
      <c r="W57" s="102" t="s">
        <v>249</v>
      </c>
      <c r="X57">
        <v>20304</v>
      </c>
    </row>
    <row r="58" spans="1:24" ht="84.75" customHeight="1" x14ac:dyDescent="0.2">
      <c r="A58" s="182" t="s">
        <v>113</v>
      </c>
      <c r="B58" s="2" t="s">
        <v>114</v>
      </c>
      <c r="C58" s="2" t="s">
        <v>0</v>
      </c>
      <c r="D58" s="9">
        <f>W173</f>
        <v>0</v>
      </c>
      <c r="E58" s="9">
        <f>X173</f>
        <v>1753000</v>
      </c>
      <c r="F58" s="9">
        <f>Y173</f>
        <v>0</v>
      </c>
      <c r="G58" s="9">
        <f t="shared" si="4"/>
        <v>1753000</v>
      </c>
      <c r="H58" s="152">
        <f t="shared" si="5"/>
        <v>753000</v>
      </c>
      <c r="I58" s="128">
        <v>1000000</v>
      </c>
      <c r="J58" s="3">
        <f t="shared" si="3"/>
        <v>0</v>
      </c>
      <c r="K58" s="197" t="s">
        <v>272</v>
      </c>
      <c r="L58" s="198"/>
      <c r="M58" s="198"/>
      <c r="N58" s="199"/>
      <c r="O58" s="3"/>
      <c r="P58" s="3"/>
      <c r="Q58" s="3"/>
      <c r="S58" s="18"/>
      <c r="V58" s="52">
        <f>+G56</f>
        <v>876000</v>
      </c>
      <c r="W58" s="102" t="s">
        <v>250</v>
      </c>
      <c r="X58">
        <v>20402</v>
      </c>
    </row>
    <row r="59" spans="1:24" ht="88.5" customHeight="1" x14ac:dyDescent="0.2">
      <c r="A59" s="182" t="s">
        <v>57</v>
      </c>
      <c r="B59" s="2" t="s">
        <v>58</v>
      </c>
      <c r="C59" s="2" t="s">
        <v>0</v>
      </c>
      <c r="D59" s="9">
        <f>W175</f>
        <v>60000</v>
      </c>
      <c r="E59" s="9">
        <f>X175</f>
        <v>645000</v>
      </c>
      <c r="F59" s="9">
        <f>Y175</f>
        <v>295000</v>
      </c>
      <c r="G59" s="9">
        <f t="shared" si="4"/>
        <v>1000000</v>
      </c>
      <c r="H59" s="152">
        <f t="shared" si="5"/>
        <v>444000</v>
      </c>
      <c r="I59" s="128">
        <v>556000</v>
      </c>
      <c r="J59" s="3">
        <f t="shared" si="3"/>
        <v>0</v>
      </c>
      <c r="K59" s="197" t="s">
        <v>293</v>
      </c>
      <c r="L59" s="198"/>
      <c r="M59" s="198"/>
      <c r="N59" s="199"/>
      <c r="O59" s="3"/>
      <c r="P59" s="3"/>
      <c r="Q59" s="3"/>
      <c r="V59" s="52">
        <v>661000</v>
      </c>
      <c r="W59" s="102" t="s">
        <v>251</v>
      </c>
      <c r="X59">
        <v>29901</v>
      </c>
    </row>
    <row r="60" spans="1:24" ht="88.5" customHeight="1" x14ac:dyDescent="0.2">
      <c r="A60" s="182" t="s">
        <v>115</v>
      </c>
      <c r="B60" s="2" t="s">
        <v>116</v>
      </c>
      <c r="C60" s="188" t="s">
        <v>0</v>
      </c>
      <c r="D60" s="9">
        <f>W179</f>
        <v>0</v>
      </c>
      <c r="E60" s="9">
        <f>X179</f>
        <v>4796000</v>
      </c>
      <c r="F60" s="9">
        <f>Y179</f>
        <v>0</v>
      </c>
      <c r="G60" s="9">
        <f t="shared" si="4"/>
        <v>4796000</v>
      </c>
      <c r="H60" s="152">
        <f t="shared" si="5"/>
        <v>2000000</v>
      </c>
      <c r="I60" s="128">
        <v>2796000</v>
      </c>
      <c r="J60" s="3">
        <f t="shared" si="3"/>
        <v>0</v>
      </c>
      <c r="K60" s="197" t="s">
        <v>297</v>
      </c>
      <c r="L60" s="198"/>
      <c r="M60" s="198"/>
      <c r="N60" s="199"/>
      <c r="O60" s="3"/>
      <c r="P60" s="3"/>
      <c r="Q60" s="3"/>
      <c r="V60" s="52">
        <f>+G58</f>
        <v>1753000</v>
      </c>
      <c r="W60" s="102" t="s">
        <v>252</v>
      </c>
      <c r="X60">
        <v>29902</v>
      </c>
    </row>
    <row r="61" spans="1:24" ht="2.25" customHeight="1" x14ac:dyDescent="0.2">
      <c r="A61" s="183" t="s">
        <v>186</v>
      </c>
      <c r="B61" s="169" t="s">
        <v>187</v>
      </c>
      <c r="C61" s="189" t="s">
        <v>0</v>
      </c>
      <c r="D61" s="11">
        <f>W180</f>
        <v>0</v>
      </c>
      <c r="E61" s="11">
        <v>0</v>
      </c>
      <c r="F61" s="11">
        <f>Y180</f>
        <v>0</v>
      </c>
      <c r="G61" s="11"/>
      <c r="H61" s="11"/>
      <c r="I61" s="11"/>
      <c r="J61" s="3">
        <f t="shared" si="3"/>
        <v>0</v>
      </c>
      <c r="K61" s="177"/>
      <c r="L61" s="178"/>
      <c r="M61" s="178"/>
      <c r="N61" s="179"/>
      <c r="O61" s="3"/>
      <c r="P61" s="3"/>
      <c r="Q61" s="3"/>
      <c r="R61" s="18">
        <f>+G49+G50+G51+G52+G53+G54+G55+G56+G57+G58+G59+G60+G61</f>
        <v>28451500</v>
      </c>
      <c r="S61" s="102" t="s">
        <v>214</v>
      </c>
      <c r="V61" s="52">
        <v>500000</v>
      </c>
      <c r="W61" s="102" t="s">
        <v>253</v>
      </c>
      <c r="X61">
        <v>29903</v>
      </c>
    </row>
    <row r="62" spans="1:24" ht="15.75" x14ac:dyDescent="0.2">
      <c r="A62" s="184"/>
      <c r="B62" s="144" t="s">
        <v>138</v>
      </c>
      <c r="C62" s="30"/>
      <c r="D62" s="190"/>
      <c r="E62" s="190"/>
      <c r="F62" s="190"/>
      <c r="G62" s="205"/>
      <c r="H62" s="206"/>
      <c r="I62" s="207"/>
      <c r="J62" s="3">
        <f t="shared" si="3"/>
        <v>0</v>
      </c>
      <c r="K62" s="177"/>
      <c r="L62" s="178"/>
      <c r="M62" s="178"/>
      <c r="N62" s="179"/>
      <c r="O62" s="3"/>
      <c r="P62" s="3"/>
      <c r="Q62" s="3"/>
      <c r="V62" s="52">
        <v>1800000</v>
      </c>
      <c r="W62" s="102" t="s">
        <v>254</v>
      </c>
      <c r="X62">
        <v>29905</v>
      </c>
    </row>
    <row r="63" spans="1:24" ht="12.75" hidden="1" customHeight="1" x14ac:dyDescent="0.2">
      <c r="A63" s="182" t="s">
        <v>117</v>
      </c>
      <c r="B63" s="2" t="s">
        <v>118</v>
      </c>
      <c r="C63" s="2" t="s">
        <v>0</v>
      </c>
      <c r="D63" s="9">
        <v>0</v>
      </c>
      <c r="E63" s="9">
        <v>0</v>
      </c>
      <c r="F63" s="9">
        <v>0</v>
      </c>
      <c r="G63" s="9"/>
      <c r="H63" s="9"/>
      <c r="I63" s="9"/>
      <c r="J63" s="3">
        <f t="shared" si="3"/>
        <v>0</v>
      </c>
      <c r="K63" s="177"/>
      <c r="L63" s="178"/>
      <c r="M63" s="178"/>
      <c r="N63" s="179"/>
      <c r="O63" s="3"/>
      <c r="P63" s="3"/>
      <c r="Q63" s="3"/>
      <c r="V63" s="52">
        <f>+G64</f>
        <v>5722000</v>
      </c>
      <c r="W63" s="102" t="s">
        <v>255</v>
      </c>
      <c r="X63">
        <v>50103</v>
      </c>
    </row>
    <row r="64" spans="1:24" ht="189" customHeight="1" x14ac:dyDescent="0.2">
      <c r="A64" s="182" t="s">
        <v>117</v>
      </c>
      <c r="B64" s="2" t="s">
        <v>118</v>
      </c>
      <c r="C64" s="188" t="s">
        <v>13</v>
      </c>
      <c r="D64" s="9">
        <f>W181</f>
        <v>0</v>
      </c>
      <c r="E64" s="9">
        <f>X181</f>
        <v>5722000</v>
      </c>
      <c r="F64" s="9">
        <f>Y181</f>
        <v>0</v>
      </c>
      <c r="G64" s="9">
        <f t="shared" ref="G64:G69" si="6">D64+E64+F64</f>
        <v>5722000</v>
      </c>
      <c r="H64" s="152">
        <f>+G64-I64</f>
        <v>0</v>
      </c>
      <c r="I64" s="128">
        <f>+G64</f>
        <v>5722000</v>
      </c>
      <c r="J64" s="3">
        <f t="shared" si="3"/>
        <v>0</v>
      </c>
      <c r="K64" s="197" t="s">
        <v>273</v>
      </c>
      <c r="L64" s="198"/>
      <c r="M64" s="198"/>
      <c r="N64" s="199"/>
      <c r="O64" s="3"/>
      <c r="P64" s="3"/>
      <c r="Q64" s="3"/>
      <c r="V64" s="52">
        <f>+G66</f>
        <v>1500000</v>
      </c>
      <c r="W64" s="102" t="s">
        <v>256</v>
      </c>
      <c r="X64">
        <v>50105</v>
      </c>
    </row>
    <row r="65" spans="1:24" ht="12.75" hidden="1" customHeight="1" x14ac:dyDescent="0.2">
      <c r="A65" s="182" t="s">
        <v>119</v>
      </c>
      <c r="B65" s="2" t="s">
        <v>120</v>
      </c>
      <c r="C65" s="2" t="s">
        <v>13</v>
      </c>
      <c r="D65" s="9">
        <v>0</v>
      </c>
      <c r="E65" s="9">
        <v>0</v>
      </c>
      <c r="F65" s="9">
        <v>0</v>
      </c>
      <c r="G65" s="9">
        <f t="shared" si="6"/>
        <v>0</v>
      </c>
      <c r="H65" s="152">
        <f t="shared" ref="H65:H69" si="7">+G65-I65</f>
        <v>0</v>
      </c>
      <c r="I65" s="128"/>
      <c r="J65" s="3">
        <f t="shared" si="3"/>
        <v>0</v>
      </c>
      <c r="K65" s="177"/>
      <c r="L65" s="178"/>
      <c r="M65" s="178"/>
      <c r="N65" s="179"/>
      <c r="O65" s="3"/>
      <c r="P65" s="3"/>
      <c r="Q65" s="3"/>
      <c r="V65" s="52">
        <v>11000000</v>
      </c>
      <c r="W65" s="102" t="s">
        <v>210</v>
      </c>
      <c r="X65">
        <v>59903</v>
      </c>
    </row>
    <row r="66" spans="1:24" ht="60" customHeight="1" x14ac:dyDescent="0.2">
      <c r="A66" s="182" t="s">
        <v>189</v>
      </c>
      <c r="B66" s="2" t="s">
        <v>190</v>
      </c>
      <c r="C66" s="2">
        <v>280</v>
      </c>
      <c r="D66" s="9">
        <v>0</v>
      </c>
      <c r="E66" s="9">
        <f>X183</f>
        <v>1500000</v>
      </c>
      <c r="F66" s="9">
        <v>0</v>
      </c>
      <c r="G66" s="9">
        <f t="shared" si="6"/>
        <v>1500000</v>
      </c>
      <c r="H66" s="152">
        <f t="shared" si="7"/>
        <v>0</v>
      </c>
      <c r="I66" s="128">
        <f>+G66</f>
        <v>1500000</v>
      </c>
      <c r="J66" s="3">
        <f t="shared" si="3"/>
        <v>0</v>
      </c>
      <c r="K66" s="197" t="s">
        <v>283</v>
      </c>
      <c r="L66" s="198"/>
      <c r="M66" s="198"/>
      <c r="N66" s="199"/>
      <c r="O66" s="3"/>
      <c r="P66" s="3"/>
      <c r="Q66" s="3"/>
      <c r="V66" s="52">
        <f>+E77</f>
        <v>260000</v>
      </c>
      <c r="W66" s="102" t="s">
        <v>257</v>
      </c>
      <c r="X66">
        <v>70106</v>
      </c>
    </row>
    <row r="67" spans="1:24" x14ac:dyDescent="0.2">
      <c r="A67" s="182" t="s">
        <v>121</v>
      </c>
      <c r="B67" s="2" t="s">
        <v>122</v>
      </c>
      <c r="C67" s="191" t="s">
        <v>13</v>
      </c>
      <c r="D67" s="9">
        <v>0</v>
      </c>
      <c r="E67" s="9">
        <f>X184</f>
        <v>90000</v>
      </c>
      <c r="F67" s="9">
        <v>0</v>
      </c>
      <c r="G67" s="9">
        <f t="shared" si="6"/>
        <v>90000</v>
      </c>
      <c r="H67" s="152">
        <f t="shared" si="7"/>
        <v>90000</v>
      </c>
      <c r="I67" s="128">
        <v>0</v>
      </c>
      <c r="J67" s="3">
        <f t="shared" si="3"/>
        <v>0</v>
      </c>
      <c r="K67" s="177"/>
      <c r="L67" s="178"/>
      <c r="M67" s="178"/>
      <c r="N67" s="179"/>
      <c r="O67" s="3"/>
      <c r="P67" s="3"/>
      <c r="Q67" s="3"/>
      <c r="V67" s="18">
        <f>+G75</f>
        <v>500000</v>
      </c>
      <c r="W67" s="102" t="s">
        <v>258</v>
      </c>
      <c r="X67">
        <v>60601</v>
      </c>
    </row>
    <row r="68" spans="1:24" ht="12.75" hidden="1" customHeight="1" x14ac:dyDescent="0.2">
      <c r="A68" s="182" t="str">
        <f>A69</f>
        <v>E-59903</v>
      </c>
      <c r="B68" s="2" t="str">
        <f>B69</f>
        <v>BIENES INTANGIBLES</v>
      </c>
      <c r="C68" s="2" t="str">
        <f>C63</f>
        <v>001</v>
      </c>
      <c r="D68" s="9">
        <v>0</v>
      </c>
      <c r="E68" s="9">
        <v>0</v>
      </c>
      <c r="F68" s="9">
        <v>0</v>
      </c>
      <c r="G68" s="9">
        <f t="shared" si="6"/>
        <v>0</v>
      </c>
      <c r="H68" s="152">
        <f t="shared" si="7"/>
        <v>0</v>
      </c>
      <c r="I68" s="128"/>
      <c r="J68" s="3">
        <f t="shared" si="3"/>
        <v>0</v>
      </c>
      <c r="K68" s="177"/>
      <c r="L68" s="178"/>
      <c r="M68" s="178"/>
      <c r="N68" s="179"/>
      <c r="O68" s="3"/>
      <c r="P68" s="3"/>
      <c r="Q68" s="3"/>
      <c r="V68" s="18">
        <f>+G74-5500000</f>
        <v>6000000</v>
      </c>
      <c r="W68" s="102" t="s">
        <v>259</v>
      </c>
      <c r="X68">
        <v>60399</v>
      </c>
    </row>
    <row r="69" spans="1:24" ht="129" customHeight="1" x14ac:dyDescent="0.2">
      <c r="A69" s="183" t="s">
        <v>65</v>
      </c>
      <c r="B69" s="169" t="s">
        <v>66</v>
      </c>
      <c r="C69" s="192" t="s">
        <v>13</v>
      </c>
      <c r="D69" s="11">
        <f>W186</f>
        <v>12135570</v>
      </c>
      <c r="E69" s="11">
        <f>X186</f>
        <v>11516888</v>
      </c>
      <c r="F69" s="11">
        <f>Y186</f>
        <v>15804510</v>
      </c>
      <c r="G69" s="11">
        <f t="shared" si="6"/>
        <v>39456968</v>
      </c>
      <c r="H69" s="152">
        <f t="shared" si="7"/>
        <v>13727020</v>
      </c>
      <c r="I69" s="148">
        <f>6260760+2356200+4995388+12117600</f>
        <v>25729948</v>
      </c>
      <c r="J69" s="3">
        <f t="shared" si="3"/>
        <v>0</v>
      </c>
      <c r="K69" s="197" t="s">
        <v>284</v>
      </c>
      <c r="L69" s="198"/>
      <c r="M69" s="198"/>
      <c r="N69" s="199"/>
      <c r="O69" s="3"/>
      <c r="P69" s="3"/>
      <c r="Q69" s="3"/>
      <c r="R69" s="18">
        <f>+G63+G64+G65+G66+G67+G68+G69</f>
        <v>46768968</v>
      </c>
      <c r="S69" s="103" t="s">
        <v>215</v>
      </c>
      <c r="V69" s="18">
        <v>90000000</v>
      </c>
      <c r="W69" s="102" t="s">
        <v>147</v>
      </c>
      <c r="X69">
        <v>10101</v>
      </c>
    </row>
    <row r="70" spans="1:24" ht="15.75" x14ac:dyDescent="0.2">
      <c r="A70" s="184"/>
      <c r="B70" s="144" t="s">
        <v>139</v>
      </c>
      <c r="C70" s="30"/>
      <c r="D70" s="190"/>
      <c r="E70" s="190"/>
      <c r="F70" s="190"/>
      <c r="G70" s="205"/>
      <c r="H70" s="206"/>
      <c r="I70" s="207"/>
      <c r="J70" s="3">
        <f t="shared" si="3"/>
        <v>0</v>
      </c>
      <c r="K70" s="177"/>
      <c r="L70" s="178"/>
      <c r="M70" s="178"/>
      <c r="N70" s="179"/>
      <c r="O70" s="3"/>
      <c r="P70" s="3"/>
      <c r="Q70" s="3"/>
    </row>
    <row r="71" spans="1:24" ht="12.75" hidden="1" customHeight="1" x14ac:dyDescent="0.2">
      <c r="A71" s="182" t="s">
        <v>123</v>
      </c>
      <c r="B71" s="2" t="s">
        <v>59</v>
      </c>
      <c r="C71" s="2" t="s">
        <v>0</v>
      </c>
      <c r="D71" s="9">
        <v>5351343</v>
      </c>
      <c r="E71" s="9">
        <v>18932574</v>
      </c>
      <c r="F71" s="145">
        <v>3512491</v>
      </c>
      <c r="G71" s="92">
        <f>D71+E71+F71</f>
        <v>27796408</v>
      </c>
      <c r="H71" s="92"/>
      <c r="I71" s="92"/>
      <c r="J71" s="3">
        <f t="shared" si="3"/>
        <v>-27796408</v>
      </c>
      <c r="K71" s="177"/>
      <c r="L71" s="178"/>
      <c r="M71" s="178"/>
      <c r="N71" s="179"/>
      <c r="O71" s="3"/>
      <c r="P71" s="3"/>
      <c r="Q71" s="3"/>
      <c r="S71" s="9"/>
    </row>
    <row r="72" spans="1:24" ht="12.75" hidden="1" customHeight="1" x14ac:dyDescent="0.2">
      <c r="A72" s="182" t="s">
        <v>124</v>
      </c>
      <c r="B72" s="2" t="s">
        <v>60</v>
      </c>
      <c r="C72" s="2" t="s">
        <v>0</v>
      </c>
      <c r="D72" s="9">
        <v>948820</v>
      </c>
      <c r="E72" s="9">
        <v>3356839</v>
      </c>
      <c r="F72" s="145">
        <v>622782</v>
      </c>
      <c r="G72" s="9">
        <f t="shared" ref="G72:G75" si="8">D72+E72+F72</f>
        <v>4928441</v>
      </c>
      <c r="H72" s="9"/>
      <c r="I72" s="9"/>
      <c r="J72" s="3">
        <f t="shared" si="3"/>
        <v>-4928441</v>
      </c>
      <c r="K72" s="177"/>
      <c r="L72" s="178"/>
      <c r="M72" s="178"/>
      <c r="N72" s="179"/>
      <c r="O72" s="3"/>
      <c r="P72" s="3"/>
      <c r="Q72" s="3"/>
      <c r="S72" s="9"/>
    </row>
    <row r="73" spans="1:24" ht="159" customHeight="1" x14ac:dyDescent="0.2">
      <c r="A73" s="182" t="s">
        <v>61</v>
      </c>
      <c r="B73" s="2" t="s">
        <v>62</v>
      </c>
      <c r="C73" s="2" t="s">
        <v>0</v>
      </c>
      <c r="D73" s="9">
        <v>0</v>
      </c>
      <c r="E73" s="9">
        <v>7725652</v>
      </c>
      <c r="F73" s="9">
        <v>12274348</v>
      </c>
      <c r="G73" s="9">
        <f t="shared" si="8"/>
        <v>20000000</v>
      </c>
      <c r="H73" s="152">
        <f>+G73-I73</f>
        <v>0</v>
      </c>
      <c r="I73" s="128">
        <f>+G73</f>
        <v>20000000</v>
      </c>
      <c r="J73" s="3">
        <f t="shared" si="3"/>
        <v>0</v>
      </c>
      <c r="K73" s="197" t="s">
        <v>295</v>
      </c>
      <c r="L73" s="198"/>
      <c r="M73" s="198"/>
      <c r="N73" s="199"/>
      <c r="O73" s="3"/>
      <c r="P73" s="3"/>
      <c r="Q73" s="3"/>
      <c r="V73" s="52"/>
      <c r="W73" s="102"/>
    </row>
    <row r="74" spans="1:24" ht="45.75" customHeight="1" x14ac:dyDescent="0.2">
      <c r="A74" s="2" t="s">
        <v>63</v>
      </c>
      <c r="B74" s="2" t="s">
        <v>64</v>
      </c>
      <c r="C74" s="2" t="s">
        <v>0</v>
      </c>
      <c r="D74" s="3">
        <v>3000000</v>
      </c>
      <c r="E74" s="3">
        <v>6000000</v>
      </c>
      <c r="F74" s="3">
        <v>2500000</v>
      </c>
      <c r="G74" s="9">
        <f t="shared" si="8"/>
        <v>11500000</v>
      </c>
      <c r="H74" s="152">
        <f>+G74-I74</f>
        <v>5500000</v>
      </c>
      <c r="I74" s="128">
        <v>6000000</v>
      </c>
      <c r="J74" s="3">
        <f t="shared" si="3"/>
        <v>0</v>
      </c>
      <c r="K74" s="197" t="s">
        <v>296</v>
      </c>
      <c r="L74" s="198"/>
      <c r="M74" s="198"/>
      <c r="N74" s="199"/>
      <c r="O74" s="3"/>
      <c r="P74" s="3"/>
      <c r="Q74" s="3"/>
      <c r="S74" s="18"/>
    </row>
    <row r="75" spans="1:24" x14ac:dyDescent="0.2">
      <c r="A75" s="185" t="s">
        <v>125</v>
      </c>
      <c r="B75" s="169" t="s">
        <v>126</v>
      </c>
      <c r="C75" s="169" t="s">
        <v>0</v>
      </c>
      <c r="D75" s="104">
        <v>0</v>
      </c>
      <c r="E75" s="155">
        <v>500000</v>
      </c>
      <c r="F75" s="104">
        <v>0</v>
      </c>
      <c r="G75" s="11">
        <f t="shared" si="8"/>
        <v>500000</v>
      </c>
      <c r="H75" s="153">
        <v>500000</v>
      </c>
      <c r="I75" s="148">
        <v>0</v>
      </c>
      <c r="J75" s="3"/>
      <c r="K75" s="177"/>
      <c r="L75" s="178"/>
      <c r="M75" s="178"/>
      <c r="N75" s="179"/>
      <c r="O75" s="3"/>
      <c r="P75" s="3"/>
      <c r="Q75" s="3"/>
      <c r="R75" s="18">
        <f>+G70+G71+G72+G73+G74+G75</f>
        <v>64724849</v>
      </c>
      <c r="S75" s="102" t="s">
        <v>216</v>
      </c>
    </row>
    <row r="76" spans="1:24" ht="15.75" x14ac:dyDescent="0.2">
      <c r="A76" s="184"/>
      <c r="B76" s="144" t="s">
        <v>140</v>
      </c>
      <c r="C76" s="30"/>
      <c r="D76" s="190"/>
      <c r="E76" s="190"/>
      <c r="F76" s="190"/>
      <c r="G76" s="205"/>
      <c r="H76" s="206"/>
      <c r="I76" s="207"/>
      <c r="J76" s="3"/>
      <c r="K76" s="177"/>
      <c r="L76" s="178"/>
      <c r="M76" s="178"/>
      <c r="N76" s="179"/>
      <c r="O76" s="3"/>
      <c r="P76" s="3"/>
      <c r="Q76" s="3"/>
      <c r="R76" s="18">
        <f>+R75-G71-G72</f>
        <v>32000000</v>
      </c>
      <c r="S76" s="102" t="s">
        <v>221</v>
      </c>
    </row>
    <row r="77" spans="1:24" ht="13.5" thickBot="1" x14ac:dyDescent="0.25">
      <c r="A77" s="186" t="s">
        <v>127</v>
      </c>
      <c r="B77" s="193" t="s">
        <v>128</v>
      </c>
      <c r="C77" s="194" t="s">
        <v>13</v>
      </c>
      <c r="D77" s="156">
        <v>0</v>
      </c>
      <c r="E77" s="157">
        <v>260000</v>
      </c>
      <c r="F77" s="156">
        <v>0</v>
      </c>
      <c r="G77" s="156">
        <f t="shared" ref="G77:G79" si="9">D77+E77+F77</f>
        <v>260000</v>
      </c>
      <c r="H77" s="158">
        <v>260000</v>
      </c>
      <c r="I77" s="159">
        <v>0</v>
      </c>
      <c r="J77" s="3"/>
      <c r="K77" s="177"/>
      <c r="L77" s="178"/>
      <c r="M77" s="178"/>
      <c r="N77" s="179"/>
      <c r="O77" s="3"/>
      <c r="P77" s="3"/>
      <c r="Q77" s="3"/>
    </row>
    <row r="78" spans="1:24" hidden="1" x14ac:dyDescent="0.2">
      <c r="A78" s="140" t="s">
        <v>129</v>
      </c>
      <c r="B78" s="1" t="s">
        <v>130</v>
      </c>
      <c r="C78" s="6" t="s">
        <v>13</v>
      </c>
      <c r="D78" s="9">
        <v>0</v>
      </c>
      <c r="E78" s="106">
        <v>0</v>
      </c>
      <c r="F78" s="9">
        <v>0</v>
      </c>
      <c r="G78" s="9">
        <f t="shared" si="9"/>
        <v>0</v>
      </c>
      <c r="H78" s="105"/>
      <c r="I78" s="105"/>
      <c r="J78" s="3"/>
      <c r="K78" s="3"/>
      <c r="L78" s="3"/>
      <c r="M78" s="3"/>
      <c r="N78" s="3"/>
      <c r="O78" s="3"/>
      <c r="P78" s="3"/>
      <c r="Q78" s="3"/>
      <c r="R78" s="18">
        <f>+G76+G77+G78+G79</f>
        <v>260000</v>
      </c>
      <c r="S78" t="s">
        <v>217</v>
      </c>
    </row>
    <row r="79" spans="1:24" ht="10.5" hidden="1" customHeight="1" x14ac:dyDescent="0.2">
      <c r="A79" s="141" t="s">
        <v>218</v>
      </c>
      <c r="B79" s="122" t="s">
        <v>219</v>
      </c>
      <c r="C79" s="142">
        <v>280</v>
      </c>
      <c r="D79" s="11">
        <v>0</v>
      </c>
      <c r="E79" s="107">
        <v>0</v>
      </c>
      <c r="F79" s="11">
        <v>0</v>
      </c>
      <c r="G79" s="11">
        <f t="shared" si="9"/>
        <v>0</v>
      </c>
      <c r="H79" s="143"/>
      <c r="I79" s="143"/>
      <c r="J79" s="3"/>
      <c r="K79" s="3"/>
      <c r="L79" s="3"/>
      <c r="M79" s="3"/>
      <c r="N79" s="3"/>
      <c r="O79" s="3"/>
      <c r="P79" s="3"/>
      <c r="Q79" s="3"/>
      <c r="R79" s="18"/>
    </row>
    <row r="80" spans="1:24" hidden="1" x14ac:dyDescent="0.2">
      <c r="D80" s="94">
        <f>SUM(D4:D79)</f>
        <v>531830389</v>
      </c>
      <c r="E80" s="94">
        <f>SUM(E4:E79)</f>
        <v>2317072390</v>
      </c>
      <c r="F80" s="94">
        <f>SUM(F4:F79)</f>
        <v>381144329</v>
      </c>
      <c r="G80" s="94">
        <f>SUM(G18:G79)-G71-G72</f>
        <v>679004220</v>
      </c>
      <c r="H80" s="94">
        <f>SUM(H18:H79)</f>
        <v>385252112</v>
      </c>
      <c r="I80" s="94">
        <f>+I74+I73+I69+I66+I64+I59+I58+I57+I56+I54+I51+I49+I47+I43+I40+I38+I35+I33+I32+I27+I25+I23+I22+I21+I20+I18+I60</f>
        <v>293752108</v>
      </c>
      <c r="J80" s="94"/>
      <c r="K80" s="94"/>
      <c r="L80" s="18"/>
      <c r="Q80" s="18"/>
    </row>
    <row r="81" spans="1:30" x14ac:dyDescent="0.2">
      <c r="D81" s="19"/>
      <c r="E81" s="3"/>
      <c r="G81" s="18"/>
    </row>
    <row r="82" spans="1:30" x14ac:dyDescent="0.2">
      <c r="B82" s="154"/>
      <c r="D82" s="18"/>
      <c r="E82" s="18"/>
      <c r="F82" s="18"/>
      <c r="G82" s="208"/>
      <c r="H82" s="208"/>
      <c r="I82" s="18"/>
      <c r="J82" s="18"/>
      <c r="K82" s="18"/>
      <c r="L82" s="103"/>
      <c r="M82" s="18"/>
      <c r="N82" s="18"/>
      <c r="O82" s="18"/>
      <c r="P82" s="18"/>
      <c r="Q82" s="18"/>
    </row>
    <row r="83" spans="1:30" ht="20.25" x14ac:dyDescent="0.2">
      <c r="E83" s="18"/>
      <c r="G83" s="209" t="s">
        <v>266</v>
      </c>
      <c r="H83" s="209"/>
      <c r="I83" s="165">
        <f>+H80</f>
        <v>385252112</v>
      </c>
      <c r="J83" s="160"/>
      <c r="K83" s="160"/>
      <c r="L83" s="161"/>
    </row>
    <row r="84" spans="1:30" ht="20.25" x14ac:dyDescent="0.2">
      <c r="G84" s="209" t="s">
        <v>267</v>
      </c>
      <c r="H84" s="209"/>
      <c r="I84" s="166">
        <f>+I80</f>
        <v>293752108</v>
      </c>
      <c r="J84" s="160"/>
      <c r="K84" s="160"/>
      <c r="L84" s="161"/>
      <c r="M84" s="18"/>
    </row>
    <row r="85" spans="1:30" ht="21" thickBot="1" x14ac:dyDescent="0.25">
      <c r="G85" s="210" t="s">
        <v>268</v>
      </c>
      <c r="H85" s="210"/>
      <c r="I85" s="167">
        <v>2551043248</v>
      </c>
      <c r="J85" s="161"/>
      <c r="K85" s="161"/>
      <c r="L85" s="161"/>
    </row>
    <row r="86" spans="1:30" ht="20.25" x14ac:dyDescent="0.2">
      <c r="G86" s="211" t="s">
        <v>269</v>
      </c>
      <c r="H86" s="211"/>
      <c r="I86" s="162">
        <f>I83+I85</f>
        <v>2936295360</v>
      </c>
      <c r="J86" s="161"/>
      <c r="K86" s="163" t="s">
        <v>270</v>
      </c>
      <c r="L86" s="161"/>
      <c r="M86" s="18"/>
      <c r="AD86" s="228"/>
    </row>
    <row r="87" spans="1:30" ht="20.25" x14ac:dyDescent="0.2">
      <c r="G87" s="164"/>
      <c r="H87" s="164"/>
      <c r="I87" s="164"/>
      <c r="J87" s="164"/>
      <c r="K87" s="164"/>
      <c r="L87" s="161"/>
      <c r="T87" s="52"/>
      <c r="AD87" s="229"/>
    </row>
    <row r="88" spans="1:30" x14ac:dyDescent="0.2">
      <c r="E88" s="18" t="e">
        <f>+G83-E18</f>
        <v>#VALUE!</v>
      </c>
      <c r="I88" s="18"/>
      <c r="L88" s="18"/>
      <c r="M88" s="18"/>
      <c r="N88" s="18"/>
      <c r="O88" s="18"/>
      <c r="P88" s="18"/>
      <c r="Q88" s="18"/>
      <c r="T88">
        <f>+T95/12</f>
        <v>30266146</v>
      </c>
      <c r="U88" s="52">
        <f>+T88*5</f>
        <v>151330730</v>
      </c>
    </row>
    <row r="89" spans="1:30" x14ac:dyDescent="0.2">
      <c r="I89" s="18"/>
      <c r="L89" s="18"/>
    </row>
    <row r="90" spans="1:30" hidden="1" x14ac:dyDescent="0.2">
      <c r="G90">
        <f>+G95/2</f>
        <v>15133073</v>
      </c>
      <c r="I90" s="18"/>
      <c r="J90" s="18"/>
      <c r="K90" s="52">
        <f>+G107+G108</f>
        <v>1950000</v>
      </c>
      <c r="L90" s="27">
        <f>G121*4</f>
        <v>4633000</v>
      </c>
      <c r="M90" s="18"/>
      <c r="S90" s="52"/>
    </row>
    <row r="91" spans="1:30" hidden="1" x14ac:dyDescent="0.2"/>
    <row r="92" spans="1:30" ht="9.75" hidden="1" customHeight="1" thickBot="1" x14ac:dyDescent="0.25"/>
    <row r="93" spans="1:30" ht="12.75" hidden="1" customHeight="1" thickBot="1" x14ac:dyDescent="0.25">
      <c r="A93" s="251"/>
      <c r="B93" s="261" t="s">
        <v>146</v>
      </c>
      <c r="C93" s="259" t="s">
        <v>145</v>
      </c>
      <c r="D93" s="263" t="s">
        <v>144</v>
      </c>
      <c r="E93" s="259" t="s">
        <v>161</v>
      </c>
      <c r="F93" s="265" t="s">
        <v>153</v>
      </c>
      <c r="G93" s="267" t="s">
        <v>155</v>
      </c>
      <c r="H93" s="123"/>
      <c r="I93" s="118"/>
      <c r="J93" s="123"/>
      <c r="K93" s="118"/>
      <c r="L93" s="259" t="s">
        <v>164</v>
      </c>
      <c r="M93" s="110"/>
      <c r="N93" s="110"/>
      <c r="O93" s="110"/>
      <c r="P93" s="110"/>
      <c r="Q93" s="110"/>
      <c r="R93" s="259" t="s">
        <v>154</v>
      </c>
      <c r="S93" s="259" t="s">
        <v>181</v>
      </c>
      <c r="T93" s="259" t="s">
        <v>160</v>
      </c>
      <c r="U93" s="259" t="s">
        <v>156</v>
      </c>
      <c r="V93" s="292" t="s">
        <v>157</v>
      </c>
      <c r="W93" s="300" t="s">
        <v>152</v>
      </c>
      <c r="X93" s="301"/>
      <c r="Y93" s="301"/>
      <c r="Z93" s="301"/>
      <c r="AA93" s="301"/>
    </row>
    <row r="94" spans="1:30" ht="65.25" hidden="1" customHeight="1" thickBot="1" x14ac:dyDescent="0.25">
      <c r="A94" s="251"/>
      <c r="B94" s="262"/>
      <c r="C94" s="260"/>
      <c r="D94" s="264"/>
      <c r="E94" s="260"/>
      <c r="F94" s="266"/>
      <c r="G94" s="268"/>
      <c r="H94" s="124"/>
      <c r="I94" s="119"/>
      <c r="J94" s="124"/>
      <c r="K94" s="119"/>
      <c r="L94" s="260"/>
      <c r="M94" s="111"/>
      <c r="N94" s="111"/>
      <c r="O94" s="111"/>
      <c r="P94" s="111"/>
      <c r="Q94" s="111"/>
      <c r="R94" s="260"/>
      <c r="S94" s="260"/>
      <c r="T94" s="260"/>
      <c r="U94" s="260"/>
      <c r="V94" s="293"/>
      <c r="W94" s="77" t="s">
        <v>149</v>
      </c>
      <c r="X94" s="78" t="s">
        <v>150</v>
      </c>
      <c r="Y94" s="79" t="s">
        <v>151</v>
      </c>
      <c r="Z94" s="218" t="s">
        <v>165</v>
      </c>
      <c r="AA94" s="219"/>
    </row>
    <row r="95" spans="1:30" hidden="1" x14ac:dyDescent="0.2">
      <c r="A95" s="251"/>
      <c r="B95" s="248" t="s">
        <v>147</v>
      </c>
      <c r="C95" s="245">
        <v>1</v>
      </c>
      <c r="D95" s="225" t="s">
        <v>19</v>
      </c>
      <c r="E95" s="257">
        <v>0</v>
      </c>
      <c r="F95" s="254">
        <v>0</v>
      </c>
      <c r="G95" s="254">
        <v>30266146</v>
      </c>
      <c r="H95" s="120"/>
      <c r="I95" s="114"/>
      <c r="J95" s="120"/>
      <c r="K95" s="114"/>
      <c r="L95" s="225">
        <v>12</v>
      </c>
      <c r="M95" s="117"/>
      <c r="N95" s="117"/>
      <c r="O95" s="117"/>
      <c r="P95" s="117"/>
      <c r="Q95" s="117"/>
      <c r="R95" s="254">
        <f>G95*L95</f>
        <v>363193752</v>
      </c>
      <c r="S95" s="254"/>
      <c r="T95" s="274">
        <f>R95+S95</f>
        <v>363193752</v>
      </c>
      <c r="U95" s="254"/>
      <c r="V95" s="256" t="s">
        <v>148</v>
      </c>
      <c r="W95" s="290"/>
      <c r="X95" s="289">
        <f>R95</f>
        <v>363193752</v>
      </c>
      <c r="Y95" s="288"/>
      <c r="Z95" s="220">
        <f>W95+X95+Y95</f>
        <v>363193752</v>
      </c>
      <c r="AA95" s="221"/>
      <c r="AB95" s="52">
        <f>Z95-T95</f>
        <v>0</v>
      </c>
    </row>
    <row r="96" spans="1:30" hidden="1" x14ac:dyDescent="0.2">
      <c r="A96" s="251"/>
      <c r="B96" s="241"/>
      <c r="C96" s="239"/>
      <c r="D96" s="255"/>
      <c r="E96" s="258"/>
      <c r="F96" s="229"/>
      <c r="G96" s="229"/>
      <c r="H96" s="121"/>
      <c r="I96" s="109"/>
      <c r="J96" s="121"/>
      <c r="K96" s="109"/>
      <c r="L96" s="255"/>
      <c r="M96" s="116"/>
      <c r="N96" s="116"/>
      <c r="O96" s="116"/>
      <c r="P96" s="116"/>
      <c r="Q96" s="116"/>
      <c r="R96" s="229"/>
      <c r="S96" s="229"/>
      <c r="T96" s="227"/>
      <c r="U96" s="229"/>
      <c r="V96" s="231"/>
      <c r="W96" s="233"/>
      <c r="X96" s="235"/>
      <c r="Y96" s="223"/>
      <c r="Z96" s="214"/>
      <c r="AA96" s="215"/>
    </row>
    <row r="97" spans="1:30" ht="25.5" hidden="1" x14ac:dyDescent="0.2">
      <c r="B97" s="240" t="s">
        <v>158</v>
      </c>
      <c r="C97" s="238">
        <v>1</v>
      </c>
      <c r="D97" s="294" t="s">
        <v>23</v>
      </c>
      <c r="E97" s="26">
        <v>5293</v>
      </c>
      <c r="F97" s="27">
        <v>612</v>
      </c>
      <c r="G97" s="27">
        <f>E97*F97</f>
        <v>3239316</v>
      </c>
      <c r="H97" s="27"/>
      <c r="I97" s="27"/>
      <c r="J97" s="27"/>
      <c r="K97" s="27"/>
      <c r="L97" s="30">
        <v>12</v>
      </c>
      <c r="M97" s="30"/>
      <c r="N97" s="30"/>
      <c r="O97" s="30"/>
      <c r="P97" s="30"/>
      <c r="Q97" s="30"/>
      <c r="R97" s="31">
        <f>G97*L97+128208</f>
        <v>39000000</v>
      </c>
      <c r="S97" s="96">
        <v>800000</v>
      </c>
      <c r="T97" s="252">
        <f>R97+R98+S97</f>
        <v>47000000</v>
      </c>
      <c r="U97" s="28"/>
      <c r="V97" s="29" t="s">
        <v>159</v>
      </c>
      <c r="W97" s="277">
        <v>15667000</v>
      </c>
      <c r="X97" s="234">
        <v>15667000</v>
      </c>
      <c r="Y97" s="279">
        <v>15666000</v>
      </c>
      <c r="Z97" s="212">
        <f>W97+X97+Y97</f>
        <v>47000000</v>
      </c>
      <c r="AA97" s="213"/>
      <c r="AB97" s="52"/>
      <c r="AC97" s="52"/>
    </row>
    <row r="98" spans="1:30" ht="25.5" hidden="1" x14ac:dyDescent="0.2">
      <c r="B98" s="241"/>
      <c r="C98" s="239">
        <v>1</v>
      </c>
      <c r="D98" s="295"/>
      <c r="E98" s="24">
        <v>0</v>
      </c>
      <c r="F98" s="25"/>
      <c r="G98" s="42">
        <v>600000</v>
      </c>
      <c r="H98" s="121"/>
      <c r="I98" s="109"/>
      <c r="J98" s="121"/>
      <c r="K98" s="109"/>
      <c r="L98" s="43">
        <v>12</v>
      </c>
      <c r="M98" s="112"/>
      <c r="N98" s="112"/>
      <c r="O98" s="112"/>
      <c r="P98" s="112"/>
      <c r="Q98" s="112"/>
      <c r="R98" s="22">
        <f>G98*L98</f>
        <v>7200000</v>
      </c>
      <c r="S98" s="76"/>
      <c r="T98" s="253"/>
      <c r="U98" s="10"/>
      <c r="V98" s="23" t="s">
        <v>172</v>
      </c>
      <c r="W98" s="278"/>
      <c r="X98" s="235"/>
      <c r="Y98" s="280"/>
      <c r="Z98" s="214"/>
      <c r="AA98" s="215"/>
      <c r="AB98" s="52">
        <f>Z97-T97</f>
        <v>0</v>
      </c>
      <c r="AC98" s="52"/>
      <c r="AD98" s="52"/>
    </row>
    <row r="99" spans="1:30" ht="12.75" hidden="1" customHeight="1" x14ac:dyDescent="0.2">
      <c r="B99" s="240" t="str">
        <f>B21</f>
        <v>ALQUILER Y DERECHOS PARA TELECOMUNICACIONES</v>
      </c>
      <c r="C99" s="238">
        <v>1</v>
      </c>
      <c r="D99" s="238" t="str">
        <f>A21</f>
        <v>E-10104</v>
      </c>
      <c r="E99" s="257">
        <v>411</v>
      </c>
      <c r="F99" s="254">
        <v>612</v>
      </c>
      <c r="G99" s="254">
        <f>E99*F99</f>
        <v>251532</v>
      </c>
      <c r="H99" s="120"/>
      <c r="I99" s="114"/>
      <c r="J99" s="120"/>
      <c r="K99" s="114"/>
      <c r="L99" s="296">
        <v>12</v>
      </c>
      <c r="M99" s="2"/>
      <c r="N99" s="2"/>
      <c r="O99" s="2"/>
      <c r="P99" s="2"/>
      <c r="Q99" s="2"/>
      <c r="R99" s="254">
        <f>G99*L99</f>
        <v>3018384</v>
      </c>
      <c r="S99" s="228">
        <v>79000</v>
      </c>
      <c r="T99" s="274">
        <f>R99+2616+S99</f>
        <v>3100000</v>
      </c>
      <c r="U99" s="254"/>
      <c r="V99" s="230" t="s">
        <v>201</v>
      </c>
      <c r="W99" s="309">
        <v>0</v>
      </c>
      <c r="X99" s="307">
        <v>3100000</v>
      </c>
      <c r="Y99" s="305">
        <v>0</v>
      </c>
      <c r="Z99" s="212">
        <f>W99+X99+Y99</f>
        <v>3100000</v>
      </c>
      <c r="AA99" s="213"/>
      <c r="AB99" s="236">
        <f>Z99-T99</f>
        <v>0</v>
      </c>
      <c r="AC99" s="237"/>
    </row>
    <row r="100" spans="1:30" hidden="1" x14ac:dyDescent="0.2">
      <c r="B100" s="241" t="str">
        <f>B22</f>
        <v>SERVICIO DE AGUA Y ALCANTARILLADO</v>
      </c>
      <c r="C100" s="239"/>
      <c r="D100" s="239" t="str">
        <f>A22</f>
        <v>E-10201</v>
      </c>
      <c r="E100" s="258"/>
      <c r="F100" s="229"/>
      <c r="G100" s="229"/>
      <c r="H100" s="121"/>
      <c r="I100" s="109"/>
      <c r="J100" s="121"/>
      <c r="K100" s="109"/>
      <c r="L100" s="295"/>
      <c r="M100" s="112"/>
      <c r="N100" s="112"/>
      <c r="O100" s="112"/>
      <c r="P100" s="112"/>
      <c r="Q100" s="112"/>
      <c r="R100" s="229"/>
      <c r="S100" s="229"/>
      <c r="T100" s="227"/>
      <c r="U100" s="229"/>
      <c r="V100" s="231"/>
      <c r="W100" s="310"/>
      <c r="X100" s="308"/>
      <c r="Y100" s="306"/>
      <c r="Z100" s="214"/>
      <c r="AA100" s="215"/>
      <c r="AB100" s="237"/>
      <c r="AC100" s="237"/>
    </row>
    <row r="101" spans="1:30" hidden="1" x14ac:dyDescent="0.2">
      <c r="B101" s="240" t="str">
        <f>B22</f>
        <v>SERVICIO DE AGUA Y ALCANTARILLADO</v>
      </c>
      <c r="C101" s="238">
        <v>1</v>
      </c>
      <c r="D101" s="224" t="s">
        <v>27</v>
      </c>
      <c r="E101" s="283"/>
      <c r="F101" s="228"/>
      <c r="G101" s="228">
        <v>300000</v>
      </c>
      <c r="H101" s="125"/>
      <c r="I101" s="108"/>
      <c r="J101" s="125"/>
      <c r="K101" s="108"/>
      <c r="L101" s="224">
        <v>12</v>
      </c>
      <c r="M101" s="117"/>
      <c r="N101" s="117"/>
      <c r="O101" s="117"/>
      <c r="P101" s="117"/>
      <c r="Q101" s="117"/>
      <c r="R101" s="254">
        <f>G101*L101</f>
        <v>3600000</v>
      </c>
      <c r="S101" s="242">
        <v>360000</v>
      </c>
      <c r="T101" s="274">
        <f>R101+S101</f>
        <v>3960000</v>
      </c>
      <c r="U101" s="297" t="s">
        <v>142</v>
      </c>
      <c r="V101" s="230" t="s">
        <v>202</v>
      </c>
      <c r="W101" s="232"/>
      <c r="X101" s="234">
        <f>T101</f>
        <v>3960000</v>
      </c>
      <c r="Y101" s="222"/>
      <c r="Z101" s="212">
        <f>W101+X101+Y101</f>
        <v>3960000</v>
      </c>
      <c r="AA101" s="213"/>
      <c r="AB101" s="236">
        <f>Z101-T101</f>
        <v>0</v>
      </c>
      <c r="AC101" s="237"/>
    </row>
    <row r="102" spans="1:30" hidden="1" x14ac:dyDescent="0.2">
      <c r="B102" s="241"/>
      <c r="C102" s="239"/>
      <c r="D102" s="239"/>
      <c r="E102" s="258"/>
      <c r="F102" s="229"/>
      <c r="G102" s="229"/>
      <c r="H102" s="121"/>
      <c r="I102" s="109"/>
      <c r="J102" s="121"/>
      <c r="K102" s="109"/>
      <c r="L102" s="255"/>
      <c r="M102" s="116"/>
      <c r="N102" s="116"/>
      <c r="O102" s="116"/>
      <c r="P102" s="116"/>
      <c r="Q102" s="116"/>
      <c r="R102" s="229"/>
      <c r="S102" s="244"/>
      <c r="T102" s="227"/>
      <c r="U102" s="229"/>
      <c r="V102" s="231"/>
      <c r="W102" s="233"/>
      <c r="X102" s="235"/>
      <c r="Y102" s="223"/>
      <c r="Z102" s="214"/>
      <c r="AA102" s="215"/>
      <c r="AB102" s="237"/>
      <c r="AC102" s="237"/>
    </row>
    <row r="103" spans="1:30" hidden="1" x14ac:dyDescent="0.2">
      <c r="B103" s="248" t="str">
        <f>B23</f>
        <v>SERVICIO DE ENERGIA ELECTRICA</v>
      </c>
      <c r="C103" s="245">
        <v>1</v>
      </c>
      <c r="D103" s="245" t="str">
        <f>A23</f>
        <v>E-10202</v>
      </c>
      <c r="E103" s="257"/>
      <c r="F103" s="254"/>
      <c r="G103" s="254">
        <v>2200000</v>
      </c>
      <c r="H103" s="120"/>
      <c r="I103" s="114"/>
      <c r="J103" s="120"/>
      <c r="K103" s="114"/>
      <c r="L103" s="225">
        <v>12</v>
      </c>
      <c r="M103" s="117"/>
      <c r="N103" s="117"/>
      <c r="O103" s="117"/>
      <c r="P103" s="117"/>
      <c r="Q103" s="117"/>
      <c r="R103" s="254">
        <f>G103*L103</f>
        <v>26400000</v>
      </c>
      <c r="S103" s="97">
        <v>600000</v>
      </c>
      <c r="T103" s="274">
        <f>R103+S103</f>
        <v>27000000</v>
      </c>
      <c r="U103" s="291" t="s">
        <v>142</v>
      </c>
      <c r="V103" s="230" t="s">
        <v>203</v>
      </c>
      <c r="W103" s="232"/>
      <c r="X103" s="234">
        <f>T103</f>
        <v>27000000</v>
      </c>
      <c r="Y103" s="222"/>
      <c r="Z103" s="212">
        <f t="shared" ref="Z103" si="10">W103+X103+Y103</f>
        <v>27000000</v>
      </c>
      <c r="AA103" s="213"/>
      <c r="AB103" s="52">
        <f>Z103-T103</f>
        <v>0</v>
      </c>
    </row>
    <row r="104" spans="1:30" hidden="1" x14ac:dyDescent="0.2">
      <c r="B104" s="241" t="str">
        <f>B24</f>
        <v>SERVICIO DE CORREO</v>
      </c>
      <c r="C104" s="239"/>
      <c r="D104" s="239" t="str">
        <f>A24</f>
        <v>E-10203</v>
      </c>
      <c r="E104" s="258"/>
      <c r="F104" s="229"/>
      <c r="G104" s="229"/>
      <c r="H104" s="121"/>
      <c r="I104" s="109"/>
      <c r="J104" s="121"/>
      <c r="K104" s="109"/>
      <c r="L104" s="255"/>
      <c r="M104" s="116"/>
      <c r="N104" s="116"/>
      <c r="O104" s="116"/>
      <c r="P104" s="116"/>
      <c r="Q104" s="116"/>
      <c r="R104" s="229"/>
      <c r="S104" s="32"/>
      <c r="T104" s="227"/>
      <c r="U104" s="229"/>
      <c r="V104" s="231"/>
      <c r="W104" s="233"/>
      <c r="X104" s="235"/>
      <c r="Y104" s="223"/>
      <c r="Z104" s="214"/>
      <c r="AA104" s="215"/>
    </row>
    <row r="105" spans="1:30" ht="12.75" hidden="1" customHeight="1" x14ac:dyDescent="0.2">
      <c r="B105" s="240" t="str">
        <f>B24</f>
        <v>SERVICIO DE CORREO</v>
      </c>
      <c r="C105" s="238">
        <v>1</v>
      </c>
      <c r="D105" s="224" t="s">
        <v>73</v>
      </c>
      <c r="E105" s="283"/>
      <c r="F105" s="228"/>
      <c r="G105" s="228">
        <v>200000</v>
      </c>
      <c r="H105" s="125"/>
      <c r="I105" s="108"/>
      <c r="J105" s="125"/>
      <c r="K105" s="108"/>
      <c r="L105" s="224">
        <v>1</v>
      </c>
      <c r="M105" s="117"/>
      <c r="N105" s="117"/>
      <c r="O105" s="117"/>
      <c r="P105" s="117"/>
      <c r="Q105" s="117"/>
      <c r="R105" s="254">
        <f>G105*L105</f>
        <v>200000</v>
      </c>
      <c r="S105" s="97">
        <v>300000</v>
      </c>
      <c r="T105" s="274">
        <f>R105+S105</f>
        <v>500000</v>
      </c>
      <c r="U105" s="228"/>
      <c r="V105" s="230" t="s">
        <v>173</v>
      </c>
      <c r="W105" s="232"/>
      <c r="X105" s="234">
        <f>T105</f>
        <v>500000</v>
      </c>
      <c r="Y105" s="222"/>
      <c r="Z105" s="212">
        <f t="shared" ref="Z105" si="11">W105+X105+Y105</f>
        <v>500000</v>
      </c>
      <c r="AA105" s="213"/>
      <c r="AB105" s="52">
        <f>Z105-T105</f>
        <v>0</v>
      </c>
    </row>
    <row r="106" spans="1:30" hidden="1" x14ac:dyDescent="0.2">
      <c r="A106" s="52">
        <f>+G107+G108</f>
        <v>1950000</v>
      </c>
      <c r="B106" s="241"/>
      <c r="C106" s="239"/>
      <c r="D106" s="239"/>
      <c r="E106" s="258"/>
      <c r="F106" s="229"/>
      <c r="G106" s="229"/>
      <c r="H106" s="121"/>
      <c r="I106" s="109"/>
      <c r="J106" s="121"/>
      <c r="K106" s="109"/>
      <c r="L106" s="255"/>
      <c r="M106" s="116"/>
      <c r="N106" s="116"/>
      <c r="O106" s="116"/>
      <c r="P106" s="116"/>
      <c r="Q106" s="116"/>
      <c r="R106" s="229"/>
      <c r="S106" s="32"/>
      <c r="T106" s="227"/>
      <c r="U106" s="229"/>
      <c r="V106" s="231"/>
      <c r="W106" s="233"/>
      <c r="X106" s="235"/>
      <c r="Y106" s="223"/>
      <c r="Z106" s="214"/>
      <c r="AA106" s="215"/>
    </row>
    <row r="107" spans="1:30" hidden="1" x14ac:dyDescent="0.2">
      <c r="A107">
        <f>+A106*5</f>
        <v>9750000</v>
      </c>
      <c r="B107" s="240" t="str">
        <f>B25</f>
        <v>SERVICIO DE TELECOMUNICACIONES</v>
      </c>
      <c r="C107" s="238">
        <v>1</v>
      </c>
      <c r="D107" s="238" t="str">
        <f>A25</f>
        <v>E-10204</v>
      </c>
      <c r="E107" s="48"/>
      <c r="F107" s="49"/>
      <c r="G107" s="27">
        <v>500000</v>
      </c>
      <c r="H107" s="125"/>
      <c r="I107" s="108"/>
      <c r="J107" s="125"/>
      <c r="K107" s="108"/>
      <c r="L107" s="224">
        <v>12</v>
      </c>
      <c r="M107" s="115"/>
      <c r="N107" s="115"/>
      <c r="O107" s="115"/>
      <c r="P107" s="115"/>
      <c r="Q107" s="115"/>
      <c r="R107" s="27">
        <f>G107*L107</f>
        <v>6000000</v>
      </c>
      <c r="S107" s="98">
        <v>1500000</v>
      </c>
      <c r="T107" s="226">
        <f>R107+S107+R108-S108</f>
        <v>24500000</v>
      </c>
      <c r="U107" s="49"/>
      <c r="V107" s="51" t="s">
        <v>162</v>
      </c>
      <c r="W107" s="232"/>
      <c r="X107" s="234">
        <f>T107</f>
        <v>24500000</v>
      </c>
      <c r="Y107" s="222"/>
      <c r="Z107" s="212">
        <f t="shared" ref="Z107" si="12">W107+X107+Y107</f>
        <v>24500000</v>
      </c>
      <c r="AA107" s="213"/>
      <c r="AB107" s="52">
        <f>Z107-T107</f>
        <v>0</v>
      </c>
    </row>
    <row r="108" spans="1:30" hidden="1" x14ac:dyDescent="0.2">
      <c r="B108" s="248"/>
      <c r="C108" s="245"/>
      <c r="D108" s="245"/>
      <c r="E108" s="44"/>
      <c r="F108" s="47"/>
      <c r="G108" s="36">
        <v>1450000</v>
      </c>
      <c r="H108" s="120"/>
      <c r="I108" s="114"/>
      <c r="J108" s="120"/>
      <c r="K108" s="114"/>
      <c r="L108" s="225"/>
      <c r="M108" s="117"/>
      <c r="N108" s="117"/>
      <c r="O108" s="117"/>
      <c r="P108" s="117"/>
      <c r="Q108" s="117"/>
      <c r="R108" s="36">
        <f>G108*L107</f>
        <v>17400000</v>
      </c>
      <c r="S108" s="93">
        <v>400000</v>
      </c>
      <c r="T108" s="227"/>
      <c r="U108" s="47"/>
      <c r="V108" s="38" t="s">
        <v>163</v>
      </c>
      <c r="W108" s="233"/>
      <c r="X108" s="235"/>
      <c r="Y108" s="223"/>
      <c r="Z108" s="214"/>
      <c r="AA108" s="215"/>
    </row>
    <row r="109" spans="1:30" ht="12.75" hidden="1" customHeight="1" x14ac:dyDescent="0.2">
      <c r="B109" s="240" t="str">
        <f>B26</f>
        <v>OTROS SERVICIOS BASICOS</v>
      </c>
      <c r="C109" s="224">
        <v>1</v>
      </c>
      <c r="D109" s="224" t="s">
        <v>75</v>
      </c>
      <c r="E109" s="283"/>
      <c r="F109" s="228"/>
      <c r="G109" s="228">
        <v>28250</v>
      </c>
      <c r="H109" s="125"/>
      <c r="I109" s="108"/>
      <c r="J109" s="125"/>
      <c r="K109" s="108"/>
      <c r="L109" s="224">
        <v>12</v>
      </c>
      <c r="M109" s="115"/>
      <c r="N109" s="115"/>
      <c r="O109" s="115"/>
      <c r="P109" s="115"/>
      <c r="Q109" s="115"/>
      <c r="R109" s="228">
        <v>340000</v>
      </c>
      <c r="S109" s="33"/>
      <c r="T109" s="274">
        <f>R109</f>
        <v>340000</v>
      </c>
      <c r="U109" s="228"/>
      <c r="V109" s="230" t="s">
        <v>204</v>
      </c>
      <c r="W109" s="232"/>
      <c r="X109" s="234">
        <f>R109</f>
        <v>340000</v>
      </c>
      <c r="Y109" s="222"/>
      <c r="Z109" s="212">
        <f t="shared" ref="Z109" si="13">W109+X109+Y109</f>
        <v>340000</v>
      </c>
      <c r="AA109" s="213"/>
    </row>
    <row r="110" spans="1:30" hidden="1" x14ac:dyDescent="0.2">
      <c r="B110" s="241"/>
      <c r="C110" s="255"/>
      <c r="D110" s="255"/>
      <c r="E110" s="258"/>
      <c r="F110" s="229"/>
      <c r="G110" s="229"/>
      <c r="H110" s="121"/>
      <c r="I110" s="109"/>
      <c r="J110" s="121"/>
      <c r="K110" s="109"/>
      <c r="L110" s="255"/>
      <c r="M110" s="116"/>
      <c r="N110" s="116"/>
      <c r="O110" s="116"/>
      <c r="P110" s="116"/>
      <c r="Q110" s="116"/>
      <c r="R110" s="229"/>
      <c r="S110" s="32"/>
      <c r="T110" s="227"/>
      <c r="U110" s="229"/>
      <c r="V110" s="231"/>
      <c r="W110" s="233"/>
      <c r="X110" s="235"/>
      <c r="Y110" s="223"/>
      <c r="Z110" s="214"/>
      <c r="AA110" s="215"/>
      <c r="AB110" s="52">
        <f>Z109-T109</f>
        <v>0</v>
      </c>
    </row>
    <row r="111" spans="1:30" hidden="1" x14ac:dyDescent="0.2">
      <c r="B111" s="240" t="str">
        <f>B27</f>
        <v>INFORMACION</v>
      </c>
      <c r="C111" s="238">
        <v>1</v>
      </c>
      <c r="D111" s="238" t="str">
        <f>A27</f>
        <v>E-10301</v>
      </c>
      <c r="E111" s="283"/>
      <c r="F111" s="228"/>
      <c r="G111" s="228">
        <f>7000000-310474</f>
        <v>6689526</v>
      </c>
      <c r="H111" s="125"/>
      <c r="I111" s="108"/>
      <c r="J111" s="125"/>
      <c r="K111" s="108"/>
      <c r="L111" s="224">
        <v>1</v>
      </c>
      <c r="M111" s="115"/>
      <c r="N111" s="115"/>
      <c r="O111" s="115"/>
      <c r="P111" s="115"/>
      <c r="Q111" s="115"/>
      <c r="R111" s="228">
        <f>G111*L111</f>
        <v>6689526</v>
      </c>
      <c r="S111" s="97">
        <v>1310474</v>
      </c>
      <c r="T111" s="274">
        <f>R111+S111</f>
        <v>8000000</v>
      </c>
      <c r="U111" s="228"/>
      <c r="V111" s="230" t="s">
        <v>205</v>
      </c>
      <c r="W111" s="232"/>
      <c r="X111" s="234">
        <f>T111</f>
        <v>8000000</v>
      </c>
      <c r="Y111" s="222"/>
      <c r="Z111" s="212">
        <f t="shared" ref="Z111" si="14">W111+X111+Y111</f>
        <v>8000000</v>
      </c>
      <c r="AA111" s="213"/>
      <c r="AB111" s="52">
        <f>Z111-T111</f>
        <v>0</v>
      </c>
    </row>
    <row r="112" spans="1:30" hidden="1" x14ac:dyDescent="0.2">
      <c r="B112" s="241" t="str">
        <f>B28</f>
        <v>TRANSPORTE DE BIENES</v>
      </c>
      <c r="C112" s="239"/>
      <c r="D112" s="239" t="str">
        <f>A28</f>
        <v>E-10304</v>
      </c>
      <c r="E112" s="258"/>
      <c r="F112" s="229"/>
      <c r="G112" s="229"/>
      <c r="H112" s="121"/>
      <c r="I112" s="109"/>
      <c r="J112" s="121"/>
      <c r="K112" s="109"/>
      <c r="L112" s="255"/>
      <c r="M112" s="116"/>
      <c r="N112" s="116"/>
      <c r="O112" s="116"/>
      <c r="P112" s="116"/>
      <c r="Q112" s="116"/>
      <c r="R112" s="229"/>
      <c r="S112" s="32"/>
      <c r="T112" s="227"/>
      <c r="U112" s="229"/>
      <c r="V112" s="231"/>
      <c r="W112" s="233"/>
      <c r="X112" s="235"/>
      <c r="Y112" s="223"/>
      <c r="Z112" s="214"/>
      <c r="AA112" s="215"/>
    </row>
    <row r="113" spans="1:31" ht="12.75" hidden="1" customHeight="1" x14ac:dyDescent="0.2">
      <c r="B113" s="240" t="str">
        <f>B28</f>
        <v>TRANSPORTE DE BIENES</v>
      </c>
      <c r="C113" s="238">
        <v>1</v>
      </c>
      <c r="D113" s="224" t="s">
        <v>79</v>
      </c>
      <c r="E113" s="283"/>
      <c r="F113" s="228"/>
      <c r="G113" s="228">
        <v>60000</v>
      </c>
      <c r="H113" s="125"/>
      <c r="I113" s="108"/>
      <c r="J113" s="125"/>
      <c r="K113" s="108"/>
      <c r="L113" s="224">
        <v>1</v>
      </c>
      <c r="M113" s="115"/>
      <c r="N113" s="115"/>
      <c r="O113" s="115"/>
      <c r="P113" s="115"/>
      <c r="Q113" s="115"/>
      <c r="R113" s="228">
        <f>G113*L113</f>
        <v>60000</v>
      </c>
      <c r="S113" s="97">
        <v>190000</v>
      </c>
      <c r="T113" s="274">
        <f>R113+S113</f>
        <v>250000</v>
      </c>
      <c r="U113" s="228"/>
      <c r="V113" s="230" t="s">
        <v>206</v>
      </c>
      <c r="W113" s="232"/>
      <c r="X113" s="234">
        <f>T113</f>
        <v>250000</v>
      </c>
      <c r="Y113" s="222"/>
      <c r="Z113" s="212">
        <f t="shared" ref="Z113" si="15">W113+X113+Y113</f>
        <v>250000</v>
      </c>
      <c r="AA113" s="213"/>
      <c r="AB113" s="52">
        <f>Z113-T113</f>
        <v>0</v>
      </c>
    </row>
    <row r="114" spans="1:31" hidden="1" x14ac:dyDescent="0.2">
      <c r="B114" s="241"/>
      <c r="C114" s="239"/>
      <c r="D114" s="239"/>
      <c r="E114" s="258"/>
      <c r="F114" s="229"/>
      <c r="G114" s="229"/>
      <c r="H114" s="121"/>
      <c r="I114" s="109"/>
      <c r="J114" s="121"/>
      <c r="K114" s="109"/>
      <c r="L114" s="255"/>
      <c r="M114" s="116"/>
      <c r="N114" s="116"/>
      <c r="O114" s="116"/>
      <c r="P114" s="116"/>
      <c r="Q114" s="116"/>
      <c r="R114" s="229"/>
      <c r="S114" s="32"/>
      <c r="T114" s="227"/>
      <c r="U114" s="229"/>
      <c r="V114" s="231"/>
      <c r="W114" s="233"/>
      <c r="X114" s="235"/>
      <c r="Y114" s="223"/>
      <c r="Z114" s="214"/>
      <c r="AA114" s="215"/>
    </row>
    <row r="115" spans="1:31" ht="25.5" hidden="1" x14ac:dyDescent="0.2">
      <c r="B115" s="240" t="str">
        <f>B29</f>
        <v>COMIS. Y GASTOS POR SERV. FINANCIEROS Y COMERCIAL.</v>
      </c>
      <c r="C115" s="238">
        <v>1</v>
      </c>
      <c r="D115" s="238" t="str">
        <f>A29</f>
        <v>E-10306</v>
      </c>
      <c r="E115" s="283">
        <v>10</v>
      </c>
      <c r="F115" s="228">
        <v>612</v>
      </c>
      <c r="G115" s="228">
        <f>E115*F115</f>
        <v>6120</v>
      </c>
      <c r="H115" s="125"/>
      <c r="I115" s="108"/>
      <c r="J115" s="125"/>
      <c r="K115" s="108"/>
      <c r="L115" s="224">
        <v>12</v>
      </c>
      <c r="M115" s="115"/>
      <c r="N115" s="115"/>
      <c r="O115" s="115"/>
      <c r="P115" s="115"/>
      <c r="Q115" s="115"/>
      <c r="R115" s="228">
        <f>G115*L115</f>
        <v>73440</v>
      </c>
      <c r="S115" s="97">
        <v>126560</v>
      </c>
      <c r="T115" s="274">
        <f>R115+S115</f>
        <v>200000</v>
      </c>
      <c r="U115" s="228"/>
      <c r="V115" s="50" t="s">
        <v>207</v>
      </c>
      <c r="W115" s="232"/>
      <c r="X115" s="234">
        <f>T115</f>
        <v>200000</v>
      </c>
      <c r="Y115" s="222"/>
      <c r="Z115" s="212">
        <f t="shared" ref="Z115" si="16">W115+X115+Y115</f>
        <v>200000</v>
      </c>
      <c r="AA115" s="213"/>
    </row>
    <row r="116" spans="1:31" hidden="1" x14ac:dyDescent="0.2">
      <c r="B116" s="241" t="str">
        <f>B30</f>
        <v>SERVICIOS DE TRANSFERENCIA ELECTRONICA DE INFORMA</v>
      </c>
      <c r="C116" s="239"/>
      <c r="D116" s="239" t="str">
        <f>A30</f>
        <v>E-10307</v>
      </c>
      <c r="E116" s="258"/>
      <c r="F116" s="229"/>
      <c r="G116" s="229"/>
      <c r="H116" s="121"/>
      <c r="I116" s="109"/>
      <c r="J116" s="121"/>
      <c r="K116" s="109"/>
      <c r="L116" s="255"/>
      <c r="M116" s="116"/>
      <c r="N116" s="116"/>
      <c r="O116" s="116"/>
      <c r="P116" s="116"/>
      <c r="Q116" s="116"/>
      <c r="R116" s="229"/>
      <c r="S116" s="32"/>
      <c r="T116" s="227"/>
      <c r="U116" s="229"/>
      <c r="V116" s="53"/>
      <c r="W116" s="233"/>
      <c r="X116" s="235"/>
      <c r="Y116" s="223"/>
      <c r="Z116" s="214"/>
      <c r="AA116" s="215"/>
      <c r="AB116" s="52">
        <f>Z115-T115</f>
        <v>0</v>
      </c>
    </row>
    <row r="117" spans="1:31" ht="12.75" hidden="1" customHeight="1" x14ac:dyDescent="0.2">
      <c r="B117" s="240" t="str">
        <f>B30</f>
        <v>SERVICIOS DE TRANSFERENCIA ELECTRONICA DE INFORMA</v>
      </c>
      <c r="C117" s="238">
        <v>1</v>
      </c>
      <c r="D117" s="224" t="s">
        <v>33</v>
      </c>
      <c r="E117" s="48"/>
      <c r="F117" s="49"/>
      <c r="G117" s="27">
        <v>0</v>
      </c>
      <c r="H117" s="27"/>
      <c r="I117" s="27"/>
      <c r="J117" s="27"/>
      <c r="K117" s="27"/>
      <c r="L117" s="29">
        <v>15</v>
      </c>
      <c r="M117" s="29"/>
      <c r="N117" s="29"/>
      <c r="O117" s="29"/>
      <c r="P117" s="29"/>
      <c r="Q117" s="29"/>
      <c r="R117" s="98">
        <v>1695000</v>
      </c>
      <c r="S117" s="27"/>
      <c r="T117" s="226">
        <f>R117+R118</f>
        <v>1830000</v>
      </c>
      <c r="U117" s="228"/>
      <c r="V117" s="230" t="s">
        <v>166</v>
      </c>
      <c r="W117" s="277">
        <f>R118+1695000</f>
        <v>1830000</v>
      </c>
      <c r="X117" s="234">
        <v>0</v>
      </c>
      <c r="Y117" s="279">
        <v>0</v>
      </c>
      <c r="Z117" s="212">
        <f t="shared" ref="Z117" si="17">W117+X117+Y117</f>
        <v>1830000</v>
      </c>
      <c r="AA117" s="213"/>
      <c r="AB117" s="236">
        <f>Z117-T117</f>
        <v>0</v>
      </c>
      <c r="AC117" s="237"/>
      <c r="AD117" s="237"/>
      <c r="AE117" s="52"/>
    </row>
    <row r="118" spans="1:31" ht="35.25" hidden="1" customHeight="1" x14ac:dyDescent="0.2">
      <c r="B118" s="241"/>
      <c r="C118" s="239"/>
      <c r="D118" s="255"/>
      <c r="E118" s="45"/>
      <c r="F118" s="25"/>
      <c r="G118" s="37">
        <v>135000</v>
      </c>
      <c r="H118" s="121"/>
      <c r="I118" s="109"/>
      <c r="J118" s="121"/>
      <c r="K118" s="109"/>
      <c r="L118" s="35">
        <v>1</v>
      </c>
      <c r="M118" s="116"/>
      <c r="N118" s="116"/>
      <c r="O118" s="116"/>
      <c r="P118" s="116"/>
      <c r="Q118" s="116"/>
      <c r="R118" s="37">
        <f>G118*L118</f>
        <v>135000</v>
      </c>
      <c r="S118" s="99"/>
      <c r="T118" s="227"/>
      <c r="U118" s="229"/>
      <c r="V118" s="231"/>
      <c r="W118" s="278"/>
      <c r="X118" s="235"/>
      <c r="Y118" s="280"/>
      <c r="Z118" s="214"/>
      <c r="AA118" s="215"/>
      <c r="AB118" s="237"/>
      <c r="AC118" s="237"/>
      <c r="AD118" s="237"/>
    </row>
    <row r="119" spans="1:31" ht="12.75" hidden="1" customHeight="1" x14ac:dyDescent="0.2">
      <c r="B119" s="240" t="str">
        <f>B31</f>
        <v>SERVICIOS DE INGENIERIA Y ARQUITECTURA</v>
      </c>
      <c r="C119" s="238">
        <v>1</v>
      </c>
      <c r="D119" s="238" t="str">
        <f>A31</f>
        <v>E-10403</v>
      </c>
      <c r="E119" s="283"/>
      <c r="F119" s="228"/>
      <c r="G119" s="228">
        <v>1300000</v>
      </c>
      <c r="H119" s="125"/>
      <c r="I119" s="108"/>
      <c r="J119" s="125"/>
      <c r="K119" s="108"/>
      <c r="L119" s="224">
        <v>1</v>
      </c>
      <c r="M119" s="115"/>
      <c r="N119" s="115"/>
      <c r="O119" s="115"/>
      <c r="P119" s="115"/>
      <c r="Q119" s="115"/>
      <c r="R119" s="228">
        <f>G119*L119</f>
        <v>1300000</v>
      </c>
      <c r="S119" s="97">
        <v>200000</v>
      </c>
      <c r="T119" s="274">
        <f>R119+S119</f>
        <v>1500000</v>
      </c>
      <c r="U119" s="228"/>
      <c r="V119" s="230" t="s">
        <v>167</v>
      </c>
      <c r="W119" s="232"/>
      <c r="X119" s="234">
        <f>T119</f>
        <v>1500000</v>
      </c>
      <c r="Y119" s="222"/>
      <c r="Z119" s="212">
        <f t="shared" ref="Z119" si="18">W119+X119+Y119</f>
        <v>1500000</v>
      </c>
      <c r="AA119" s="213"/>
      <c r="AB119" s="52">
        <f>Z119-T119</f>
        <v>0</v>
      </c>
    </row>
    <row r="120" spans="1:31" hidden="1" x14ac:dyDescent="0.2">
      <c r="B120" s="241" t="str">
        <f>B32</f>
        <v>SERVICIOS GENERALES</v>
      </c>
      <c r="C120" s="239"/>
      <c r="D120" s="239" t="str">
        <f>A32</f>
        <v>E-10406</v>
      </c>
      <c r="E120" s="258"/>
      <c r="F120" s="229"/>
      <c r="G120" s="229"/>
      <c r="H120" s="121"/>
      <c r="I120" s="109"/>
      <c r="J120" s="121"/>
      <c r="K120" s="109"/>
      <c r="L120" s="255"/>
      <c r="M120" s="116"/>
      <c r="N120" s="116"/>
      <c r="O120" s="116"/>
      <c r="P120" s="116"/>
      <c r="Q120" s="116"/>
      <c r="R120" s="229"/>
      <c r="S120" s="32"/>
      <c r="T120" s="227"/>
      <c r="U120" s="229"/>
      <c r="V120" s="231"/>
      <c r="W120" s="233"/>
      <c r="X120" s="235"/>
      <c r="Y120" s="223"/>
      <c r="Z120" s="214"/>
      <c r="AA120" s="215"/>
    </row>
    <row r="121" spans="1:31" ht="25.5" hidden="1" x14ac:dyDescent="0.2">
      <c r="A121">
        <f>+G121*5</f>
        <v>5791250</v>
      </c>
      <c r="B121" s="240" t="str">
        <f>B32</f>
        <v>SERVICIOS GENERALES</v>
      </c>
      <c r="C121" s="238">
        <v>1</v>
      </c>
      <c r="D121" s="238" t="s">
        <v>85</v>
      </c>
      <c r="E121" s="40"/>
      <c r="F121" s="36"/>
      <c r="G121" s="36">
        <v>1158250</v>
      </c>
      <c r="H121" s="120"/>
      <c r="I121" s="114"/>
      <c r="J121" s="120"/>
      <c r="K121" s="114"/>
      <c r="L121" s="34">
        <v>12</v>
      </c>
      <c r="M121" s="117"/>
      <c r="N121" s="117"/>
      <c r="O121" s="117"/>
      <c r="P121" s="117"/>
      <c r="Q121" s="117"/>
      <c r="R121" s="36">
        <f>G121*L121</f>
        <v>13899000</v>
      </c>
      <c r="S121" s="95">
        <v>501000</v>
      </c>
      <c r="T121" s="226">
        <f>R121+R122+S121+S122</f>
        <v>18000000</v>
      </c>
      <c r="U121" s="36"/>
      <c r="V121" s="38" t="s">
        <v>208</v>
      </c>
      <c r="W121" s="232"/>
      <c r="X121" s="234">
        <f>T121</f>
        <v>18000000</v>
      </c>
      <c r="Y121" s="222"/>
      <c r="Z121" s="212">
        <f t="shared" ref="Z121" si="19">W121+X121+Y121</f>
        <v>18000000</v>
      </c>
      <c r="AA121" s="213"/>
    </row>
    <row r="122" spans="1:31" hidden="1" x14ac:dyDescent="0.2">
      <c r="B122" s="241"/>
      <c r="C122" s="239"/>
      <c r="D122" s="239"/>
      <c r="E122" s="40"/>
      <c r="F122" s="36"/>
      <c r="G122" s="36"/>
      <c r="H122" s="120"/>
      <c r="I122" s="114"/>
      <c r="J122" s="120"/>
      <c r="K122" s="114"/>
      <c r="L122" s="34"/>
      <c r="M122" s="117"/>
      <c r="N122" s="117"/>
      <c r="O122" s="117"/>
      <c r="P122" s="117"/>
      <c r="Q122" s="117"/>
      <c r="R122" s="36"/>
      <c r="S122" s="99">
        <v>3600000</v>
      </c>
      <c r="T122" s="227"/>
      <c r="U122" s="36"/>
      <c r="V122" s="38"/>
      <c r="W122" s="233"/>
      <c r="X122" s="235"/>
      <c r="Y122" s="223"/>
      <c r="Z122" s="214"/>
      <c r="AA122" s="215"/>
      <c r="AB122" s="52">
        <f>Z121-T121</f>
        <v>0</v>
      </c>
    </row>
    <row r="123" spans="1:31" hidden="1" x14ac:dyDescent="0.2">
      <c r="B123" s="240" t="str">
        <f>B33</f>
        <v>OTROS SERVICIOS DE GESTION Y APOYO</v>
      </c>
      <c r="C123" s="238">
        <v>1</v>
      </c>
      <c r="D123" s="238" t="str">
        <f>A33</f>
        <v>E-10499</v>
      </c>
      <c r="E123" s="61"/>
      <c r="F123" s="54"/>
      <c r="G123" s="54">
        <v>100000</v>
      </c>
      <c r="H123" s="125"/>
      <c r="I123" s="108"/>
      <c r="J123" s="125"/>
      <c r="K123" s="108"/>
      <c r="L123" s="56">
        <v>1</v>
      </c>
      <c r="M123" s="115"/>
      <c r="N123" s="115"/>
      <c r="O123" s="115"/>
      <c r="P123" s="115"/>
      <c r="Q123" s="115"/>
      <c r="R123" s="54">
        <v>100000</v>
      </c>
      <c r="S123" s="242">
        <v>2722768</v>
      </c>
      <c r="T123" s="274">
        <f>R123+R124+R125+R126+S123</f>
        <v>4500000</v>
      </c>
      <c r="U123" s="46"/>
      <c r="V123" s="41" t="s">
        <v>168</v>
      </c>
      <c r="W123" s="232"/>
      <c r="X123" s="234">
        <f>T123</f>
        <v>4500000</v>
      </c>
      <c r="Y123" s="222"/>
      <c r="Z123" s="212">
        <f>W123+X123+Y123</f>
        <v>4500000</v>
      </c>
      <c r="AA123" s="213"/>
    </row>
    <row r="124" spans="1:31" hidden="1" x14ac:dyDescent="0.2">
      <c r="B124" s="248"/>
      <c r="C124" s="245"/>
      <c r="D124" s="245"/>
      <c r="E124" s="59">
        <v>178</v>
      </c>
      <c r="F124" s="58">
        <v>612</v>
      </c>
      <c r="G124" s="58">
        <f>E124*F124</f>
        <v>108936</v>
      </c>
      <c r="H124" s="120"/>
      <c r="I124" s="114"/>
      <c r="J124" s="120"/>
      <c r="K124" s="114"/>
      <c r="L124" s="62">
        <v>12</v>
      </c>
      <c r="M124" s="117"/>
      <c r="N124" s="117"/>
      <c r="O124" s="117"/>
      <c r="P124" s="117"/>
      <c r="Q124" s="117"/>
      <c r="R124" s="54">
        <f>G124*L124</f>
        <v>1307232</v>
      </c>
      <c r="S124" s="243"/>
      <c r="T124" s="274"/>
      <c r="U124" s="47"/>
      <c r="V124" s="38" t="s">
        <v>169</v>
      </c>
      <c r="W124" s="281"/>
      <c r="X124" s="275"/>
      <c r="Y124" s="276"/>
      <c r="Z124" s="216"/>
      <c r="AA124" s="217"/>
    </row>
    <row r="125" spans="1:31" ht="25.5" hidden="1" x14ac:dyDescent="0.2">
      <c r="B125" s="248"/>
      <c r="C125" s="245"/>
      <c r="D125" s="245"/>
      <c r="E125" s="59"/>
      <c r="F125" s="58"/>
      <c r="G125" s="58">
        <v>90000</v>
      </c>
      <c r="H125" s="120"/>
      <c r="I125" s="114"/>
      <c r="J125" s="120"/>
      <c r="K125" s="114"/>
      <c r="L125" s="62">
        <v>1</v>
      </c>
      <c r="M125" s="117"/>
      <c r="N125" s="117"/>
      <c r="O125" s="117"/>
      <c r="P125" s="117"/>
      <c r="Q125" s="117"/>
      <c r="R125" s="54">
        <f>G125*L125</f>
        <v>90000</v>
      </c>
      <c r="S125" s="243"/>
      <c r="T125" s="274"/>
      <c r="U125" s="47"/>
      <c r="V125" s="38" t="s">
        <v>170</v>
      </c>
      <c r="W125" s="281"/>
      <c r="X125" s="275"/>
      <c r="Y125" s="276"/>
      <c r="Z125" s="216"/>
      <c r="AA125" s="217"/>
      <c r="AB125" s="52">
        <f>Z123-T123</f>
        <v>0</v>
      </c>
    </row>
    <row r="126" spans="1:31" hidden="1" x14ac:dyDescent="0.2">
      <c r="B126" s="241" t="str">
        <f>B34</f>
        <v>TRANSPORTE DENTRO DEL PAIS</v>
      </c>
      <c r="C126" s="239"/>
      <c r="D126" s="239" t="str">
        <f>A34</f>
        <v>E-10501</v>
      </c>
      <c r="E126" s="60"/>
      <c r="F126" s="55"/>
      <c r="G126" s="55">
        <v>280000</v>
      </c>
      <c r="H126" s="121"/>
      <c r="I126" s="109"/>
      <c r="J126" s="121"/>
      <c r="K126" s="109"/>
      <c r="L126" s="57">
        <v>1</v>
      </c>
      <c r="M126" s="117"/>
      <c r="N126" s="117"/>
      <c r="O126" s="117"/>
      <c r="P126" s="117"/>
      <c r="Q126" s="117"/>
      <c r="R126" s="54">
        <f>G126*L126</f>
        <v>280000</v>
      </c>
      <c r="S126" s="244"/>
      <c r="T126" s="227"/>
      <c r="U126" s="25"/>
      <c r="V126" s="39" t="s">
        <v>171</v>
      </c>
      <c r="W126" s="233"/>
      <c r="X126" s="235"/>
      <c r="Y126" s="223"/>
      <c r="Z126" s="214"/>
      <c r="AA126" s="215"/>
    </row>
    <row r="127" spans="1:31" hidden="1" x14ac:dyDescent="0.2">
      <c r="B127" s="240" t="str">
        <f>B34</f>
        <v>TRANSPORTE DENTRO DEL PAIS</v>
      </c>
      <c r="C127" s="238">
        <v>1</v>
      </c>
      <c r="D127" s="224" t="s">
        <v>37</v>
      </c>
      <c r="E127" s="283"/>
      <c r="F127" s="228"/>
      <c r="G127" s="228"/>
      <c r="H127" s="125"/>
      <c r="I127" s="108"/>
      <c r="J127" s="125"/>
      <c r="K127" s="108"/>
      <c r="L127" s="224"/>
      <c r="M127" s="115"/>
      <c r="N127" s="115"/>
      <c r="O127" s="115"/>
      <c r="P127" s="115"/>
      <c r="Q127" s="115"/>
      <c r="R127" s="228"/>
      <c r="S127" s="33"/>
      <c r="T127" s="274">
        <f t="shared" ref="T127" si="20">R127</f>
        <v>0</v>
      </c>
      <c r="U127" s="228" t="str">
        <f>U132</f>
        <v>N/A</v>
      </c>
      <c r="V127" s="230"/>
      <c r="W127" s="232"/>
      <c r="X127" s="234"/>
      <c r="Y127" s="222"/>
      <c r="Z127" s="212">
        <f>W127+X127+Y127</f>
        <v>0</v>
      </c>
      <c r="AA127" s="213"/>
    </row>
    <row r="128" spans="1:31" hidden="1" x14ac:dyDescent="0.2">
      <c r="B128" s="241"/>
      <c r="C128" s="239"/>
      <c r="D128" s="239"/>
      <c r="E128" s="258"/>
      <c r="F128" s="229"/>
      <c r="G128" s="229"/>
      <c r="H128" s="121"/>
      <c r="I128" s="109"/>
      <c r="J128" s="121"/>
      <c r="K128" s="109"/>
      <c r="L128" s="255"/>
      <c r="M128" s="116"/>
      <c r="N128" s="116"/>
      <c r="O128" s="116"/>
      <c r="P128" s="116"/>
      <c r="Q128" s="116"/>
      <c r="R128" s="229"/>
      <c r="S128" s="32"/>
      <c r="T128" s="227"/>
      <c r="U128" s="229"/>
      <c r="V128" s="231"/>
      <c r="W128" s="233"/>
      <c r="X128" s="235"/>
      <c r="Y128" s="223"/>
      <c r="Z128" s="214"/>
      <c r="AA128" s="215"/>
    </row>
    <row r="129" spans="1:29" hidden="1" x14ac:dyDescent="0.2">
      <c r="B129" s="240" t="str">
        <f>B38</f>
        <v>SEGUROS</v>
      </c>
      <c r="C129" s="238">
        <v>1</v>
      </c>
      <c r="D129" s="224" t="s">
        <v>41</v>
      </c>
      <c r="E129" s="63"/>
      <c r="F129" s="228"/>
      <c r="G129" s="54">
        <v>6317554</v>
      </c>
      <c r="H129" s="125"/>
      <c r="I129" s="108"/>
      <c r="J129" s="125"/>
      <c r="K129" s="108"/>
      <c r="L129" s="56">
        <v>1</v>
      </c>
      <c r="M129" s="115"/>
      <c r="N129" s="115"/>
      <c r="O129" s="115"/>
      <c r="P129" s="115"/>
      <c r="Q129" s="115"/>
      <c r="R129" s="54">
        <f>G129*L129+446</f>
        <v>6318000</v>
      </c>
      <c r="S129" s="33"/>
      <c r="T129" s="274">
        <f>R129+R130+R131+S130</f>
        <v>16000000</v>
      </c>
      <c r="U129" s="228"/>
      <c r="V129" s="64" t="s">
        <v>174</v>
      </c>
      <c r="W129" s="232"/>
      <c r="X129" s="234">
        <f>T129</f>
        <v>16000000</v>
      </c>
      <c r="Y129" s="222"/>
      <c r="Z129" s="212">
        <f>W129+X129+Y129</f>
        <v>16000000</v>
      </c>
      <c r="AA129" s="213"/>
    </row>
    <row r="130" spans="1:29" hidden="1" x14ac:dyDescent="0.2">
      <c r="B130" s="248"/>
      <c r="C130" s="245"/>
      <c r="D130" s="225"/>
      <c r="E130" s="63"/>
      <c r="F130" s="254"/>
      <c r="G130" s="58">
        <v>9000000</v>
      </c>
      <c r="H130" s="120"/>
      <c r="I130" s="114"/>
      <c r="J130" s="120"/>
      <c r="K130" s="114"/>
      <c r="L130" s="62">
        <v>1</v>
      </c>
      <c r="M130" s="117"/>
      <c r="N130" s="117"/>
      <c r="O130" s="117"/>
      <c r="P130" s="117"/>
      <c r="Q130" s="117"/>
      <c r="R130" s="54">
        <f>G130*L130</f>
        <v>9000000</v>
      </c>
      <c r="S130" s="97">
        <v>682000</v>
      </c>
      <c r="T130" s="274"/>
      <c r="U130" s="254"/>
      <c r="V130" s="65" t="s">
        <v>175</v>
      </c>
      <c r="W130" s="281"/>
      <c r="X130" s="275"/>
      <c r="Y130" s="276"/>
      <c r="Z130" s="216"/>
      <c r="AA130" s="217"/>
      <c r="AB130" s="52">
        <f>Z129-T129</f>
        <v>0</v>
      </c>
    </row>
    <row r="131" spans="1:29" hidden="1" x14ac:dyDescent="0.2">
      <c r="B131" s="241"/>
      <c r="C131" s="239"/>
      <c r="D131" s="239"/>
      <c r="E131" s="63"/>
      <c r="F131" s="229"/>
      <c r="G131" s="55"/>
      <c r="H131" s="121"/>
      <c r="I131" s="109"/>
      <c r="J131" s="121"/>
      <c r="K131" s="109"/>
      <c r="L131" s="57">
        <v>1</v>
      </c>
      <c r="M131" s="117"/>
      <c r="N131" s="117"/>
      <c r="O131" s="117"/>
      <c r="P131" s="117"/>
      <c r="Q131" s="117"/>
      <c r="R131" s="54">
        <f>G131*L131</f>
        <v>0</v>
      </c>
      <c r="S131" s="32"/>
      <c r="T131" s="227"/>
      <c r="U131" s="229"/>
      <c r="V131" s="53" t="s">
        <v>176</v>
      </c>
      <c r="W131" s="233"/>
      <c r="X131" s="235"/>
      <c r="Y131" s="223"/>
      <c r="Z131" s="214"/>
      <c r="AA131" s="215"/>
    </row>
    <row r="132" spans="1:29" hidden="1" x14ac:dyDescent="0.2">
      <c r="B132" s="240" t="str">
        <f t="shared" ref="B132:B137" si="21">B35</f>
        <v>VIATICOS DENTRO DEL PAIS</v>
      </c>
      <c r="C132" s="238">
        <v>1</v>
      </c>
      <c r="D132" s="238" t="str">
        <f t="shared" ref="D132:D137" si="22">A35</f>
        <v>E-10502</v>
      </c>
      <c r="E132" s="283"/>
      <c r="F132" s="228"/>
      <c r="G132" s="228"/>
      <c r="H132" s="125"/>
      <c r="I132" s="108"/>
      <c r="J132" s="125"/>
      <c r="K132" s="108"/>
      <c r="L132" s="224"/>
      <c r="M132" s="115"/>
      <c r="N132" s="115"/>
      <c r="O132" s="115"/>
      <c r="P132" s="115"/>
      <c r="Q132" s="115"/>
      <c r="R132" s="228"/>
      <c r="S132" s="33"/>
      <c r="T132" s="274">
        <f t="shared" ref="T132" si="23">R132</f>
        <v>0</v>
      </c>
      <c r="U132" s="228" t="str">
        <f>U103</f>
        <v>N/A</v>
      </c>
      <c r="V132" s="230"/>
      <c r="W132" s="232"/>
      <c r="X132" s="234"/>
      <c r="Y132" s="222"/>
      <c r="Z132" s="212">
        <f>W132+X132+Y132</f>
        <v>0</v>
      </c>
      <c r="AA132" s="213"/>
    </row>
    <row r="133" spans="1:29" hidden="1" x14ac:dyDescent="0.2">
      <c r="B133" s="241" t="str">
        <f t="shared" si="21"/>
        <v>TRANSPORTE EN EL EXTERIOR</v>
      </c>
      <c r="C133" s="239"/>
      <c r="D133" s="239" t="str">
        <f t="shared" si="22"/>
        <v>E-10503</v>
      </c>
      <c r="E133" s="258"/>
      <c r="F133" s="229"/>
      <c r="G133" s="229"/>
      <c r="H133" s="121"/>
      <c r="I133" s="109"/>
      <c r="J133" s="121"/>
      <c r="K133" s="109"/>
      <c r="L133" s="255"/>
      <c r="M133" s="116"/>
      <c r="N133" s="116"/>
      <c r="O133" s="116"/>
      <c r="P133" s="116"/>
      <c r="Q133" s="116"/>
      <c r="R133" s="229"/>
      <c r="S133" s="32"/>
      <c r="T133" s="227"/>
      <c r="U133" s="229"/>
      <c r="V133" s="231"/>
      <c r="W133" s="233"/>
      <c r="X133" s="235"/>
      <c r="Y133" s="223"/>
      <c r="Z133" s="214"/>
      <c r="AA133" s="215"/>
    </row>
    <row r="134" spans="1:29" ht="12.75" hidden="1" customHeight="1" x14ac:dyDescent="0.2">
      <c r="B134" s="248" t="str">
        <f t="shared" si="21"/>
        <v>VIATICOS EN EL EXTERIOR</v>
      </c>
      <c r="C134" s="245">
        <v>1</v>
      </c>
      <c r="D134" s="245" t="str">
        <f t="shared" si="22"/>
        <v>E-10504</v>
      </c>
      <c r="E134" s="257"/>
      <c r="F134" s="254"/>
      <c r="G134" s="254"/>
      <c r="H134" s="120"/>
      <c r="I134" s="114"/>
      <c r="J134" s="120"/>
      <c r="K134" s="114"/>
      <c r="L134" s="225"/>
      <c r="M134" s="117"/>
      <c r="N134" s="117"/>
      <c r="O134" s="117"/>
      <c r="P134" s="117"/>
      <c r="Q134" s="117"/>
      <c r="R134" s="254"/>
      <c r="S134" s="33"/>
      <c r="T134" s="274">
        <f t="shared" ref="T134" si="24">R134</f>
        <v>0</v>
      </c>
      <c r="U134" s="228">
        <f>U105</f>
        <v>0</v>
      </c>
      <c r="V134" s="230"/>
      <c r="W134" s="232"/>
      <c r="X134" s="234"/>
      <c r="Y134" s="222"/>
      <c r="Z134" s="80"/>
      <c r="AA134" s="81"/>
    </row>
    <row r="135" spans="1:29" ht="12.75" hidden="1" customHeight="1" x14ac:dyDescent="0.2">
      <c r="B135" s="248" t="str">
        <f t="shared" si="21"/>
        <v>SEGUROS</v>
      </c>
      <c r="C135" s="245"/>
      <c r="D135" s="245" t="str">
        <f t="shared" si="22"/>
        <v>E-10601</v>
      </c>
      <c r="E135" s="257"/>
      <c r="F135" s="254"/>
      <c r="G135" s="254"/>
      <c r="H135" s="120"/>
      <c r="I135" s="114"/>
      <c r="J135" s="120"/>
      <c r="K135" s="114"/>
      <c r="L135" s="225"/>
      <c r="M135" s="117"/>
      <c r="N135" s="117"/>
      <c r="O135" s="117"/>
      <c r="P135" s="117"/>
      <c r="Q135" s="117"/>
      <c r="R135" s="254"/>
      <c r="S135" s="33"/>
      <c r="T135" s="227"/>
      <c r="U135" s="229"/>
      <c r="V135" s="282"/>
      <c r="W135" s="233"/>
      <c r="X135" s="235"/>
      <c r="Y135" s="223"/>
      <c r="Z135" s="80"/>
      <c r="AA135" s="81"/>
    </row>
    <row r="136" spans="1:29" hidden="1" x14ac:dyDescent="0.2">
      <c r="B136" s="248" t="str">
        <f t="shared" si="21"/>
        <v>ACTIVIDADES DE CAPACITACION</v>
      </c>
      <c r="C136" s="245">
        <v>1</v>
      </c>
      <c r="D136" s="245" t="str">
        <f t="shared" si="22"/>
        <v>E-10701</v>
      </c>
      <c r="E136" s="257"/>
      <c r="F136" s="254"/>
      <c r="G136" s="254"/>
      <c r="H136" s="120"/>
      <c r="I136" s="114"/>
      <c r="J136" s="120"/>
      <c r="K136" s="114"/>
      <c r="L136" s="225"/>
      <c r="M136" s="117"/>
      <c r="N136" s="117"/>
      <c r="O136" s="117"/>
      <c r="P136" s="117"/>
      <c r="Q136" s="117"/>
      <c r="R136" s="243">
        <v>2000000</v>
      </c>
      <c r="S136" s="33"/>
      <c r="T136" s="274">
        <f t="shared" ref="T136" si="25">R136</f>
        <v>2000000</v>
      </c>
      <c r="U136" s="228" t="str">
        <f>U132</f>
        <v>N/A</v>
      </c>
      <c r="V136" s="282"/>
      <c r="W136" s="277">
        <v>500000</v>
      </c>
      <c r="X136" s="234">
        <v>1000000</v>
      </c>
      <c r="Y136" s="279">
        <v>500000</v>
      </c>
      <c r="Z136" s="212">
        <f>W136+X136+Y136</f>
        <v>2000000</v>
      </c>
      <c r="AA136" s="213"/>
    </row>
    <row r="137" spans="1:29" hidden="1" x14ac:dyDescent="0.2">
      <c r="B137" s="241" t="str">
        <f t="shared" si="21"/>
        <v>MANT. Y REPARACION DE EQUIPO DE TRANSPORTE</v>
      </c>
      <c r="C137" s="239"/>
      <c r="D137" s="239" t="str">
        <f t="shared" si="22"/>
        <v>E-10805</v>
      </c>
      <c r="E137" s="258"/>
      <c r="F137" s="229"/>
      <c r="G137" s="229"/>
      <c r="H137" s="121"/>
      <c r="I137" s="109"/>
      <c r="J137" s="121"/>
      <c r="K137" s="109"/>
      <c r="L137" s="255"/>
      <c r="M137" s="116"/>
      <c r="N137" s="116"/>
      <c r="O137" s="116"/>
      <c r="P137" s="116"/>
      <c r="Q137" s="116"/>
      <c r="R137" s="244"/>
      <c r="S137" s="32"/>
      <c r="T137" s="227"/>
      <c r="U137" s="229"/>
      <c r="V137" s="231"/>
      <c r="W137" s="278"/>
      <c r="X137" s="235"/>
      <c r="Y137" s="280"/>
      <c r="Z137" s="214"/>
      <c r="AA137" s="215"/>
    </row>
    <row r="138" spans="1:29" ht="12.75" hidden="1" customHeight="1" x14ac:dyDescent="0.2">
      <c r="A138" s="52">
        <f>+G144+G146</f>
        <v>3279096</v>
      </c>
      <c r="B138" s="240" t="str">
        <f>B40</f>
        <v>MANT. Y REPARACION DE EQUIPO DE TRANSPORTE</v>
      </c>
      <c r="C138" s="238">
        <v>1</v>
      </c>
      <c r="D138" s="224" t="s">
        <v>45</v>
      </c>
      <c r="E138" s="283"/>
      <c r="F138" s="228"/>
      <c r="G138" s="228">
        <v>9000000</v>
      </c>
      <c r="H138" s="125"/>
      <c r="I138" s="108"/>
      <c r="J138" s="125"/>
      <c r="K138" s="108"/>
      <c r="L138" s="224">
        <v>1</v>
      </c>
      <c r="M138" s="115"/>
      <c r="N138" s="115"/>
      <c r="O138" s="115"/>
      <c r="P138" s="115"/>
      <c r="Q138" s="115"/>
      <c r="R138" s="228">
        <f>G138*L138</f>
        <v>9000000</v>
      </c>
      <c r="S138" s="33"/>
      <c r="T138" s="274">
        <f>R138+S139</f>
        <v>10000000</v>
      </c>
      <c r="U138" s="228"/>
      <c r="V138" s="230" t="s">
        <v>197</v>
      </c>
      <c r="W138" s="232"/>
      <c r="X138" s="234">
        <f>T138</f>
        <v>10000000</v>
      </c>
      <c r="Y138" s="222"/>
      <c r="Z138" s="212">
        <f>W138+X138+Y138</f>
        <v>10000000</v>
      </c>
      <c r="AA138" s="213"/>
    </row>
    <row r="139" spans="1:29" hidden="1" x14ac:dyDescent="0.2">
      <c r="B139" s="241"/>
      <c r="C139" s="239"/>
      <c r="D139" s="239"/>
      <c r="E139" s="258"/>
      <c r="F139" s="229"/>
      <c r="G139" s="229"/>
      <c r="H139" s="121"/>
      <c r="I139" s="109"/>
      <c r="J139" s="121"/>
      <c r="K139" s="109"/>
      <c r="L139" s="255"/>
      <c r="M139" s="116"/>
      <c r="N139" s="116"/>
      <c r="O139" s="116"/>
      <c r="P139" s="116"/>
      <c r="Q139" s="116"/>
      <c r="R139" s="229"/>
      <c r="S139" s="99">
        <v>1000000</v>
      </c>
      <c r="T139" s="227"/>
      <c r="U139" s="229"/>
      <c r="V139" s="231"/>
      <c r="W139" s="233"/>
      <c r="X139" s="235"/>
      <c r="Y139" s="223"/>
      <c r="Z139" s="214"/>
      <c r="AA139" s="215"/>
      <c r="AB139" s="52">
        <f>Z138-T138</f>
        <v>0</v>
      </c>
    </row>
    <row r="140" spans="1:29" hidden="1" x14ac:dyDescent="0.2">
      <c r="A140" s="52">
        <f>+A138*6</f>
        <v>19674576</v>
      </c>
      <c r="B140" s="240" t="str">
        <f>B41</f>
        <v>MANT. Y REPARACION DE EQUIPO DE COMUNICAC.</v>
      </c>
      <c r="C140" s="238">
        <v>1</v>
      </c>
      <c r="D140" s="238" t="str">
        <f>A41</f>
        <v>E-10806</v>
      </c>
      <c r="E140" s="283"/>
      <c r="F140" s="228"/>
      <c r="G140" s="228"/>
      <c r="H140" s="125"/>
      <c r="I140" s="108"/>
      <c r="J140" s="125"/>
      <c r="K140" s="108"/>
      <c r="L140" s="224"/>
      <c r="M140" s="115"/>
      <c r="N140" s="115"/>
      <c r="O140" s="115"/>
      <c r="P140" s="115"/>
      <c r="Q140" s="115"/>
      <c r="R140" s="228"/>
      <c r="S140" s="33"/>
      <c r="T140" s="274">
        <f t="shared" ref="T140" si="26">R140</f>
        <v>0</v>
      </c>
      <c r="U140" s="228"/>
      <c r="V140" s="230"/>
      <c r="W140" s="232"/>
      <c r="X140" s="234"/>
      <c r="Y140" s="222"/>
      <c r="Z140" s="212">
        <f>W140+X140+Y140</f>
        <v>0</v>
      </c>
      <c r="AA140" s="213"/>
    </row>
    <row r="141" spans="1:29" hidden="1" x14ac:dyDescent="0.2">
      <c r="B141" s="241" t="str">
        <f>B42</f>
        <v>MANT. Y REPARACION DE EQUIPO Y MOBILIARIO DE OFIC.</v>
      </c>
      <c r="C141" s="239"/>
      <c r="D141" s="239" t="str">
        <f>A42</f>
        <v>E-10807</v>
      </c>
      <c r="E141" s="258"/>
      <c r="F141" s="229"/>
      <c r="G141" s="229"/>
      <c r="H141" s="121"/>
      <c r="I141" s="109"/>
      <c r="J141" s="121"/>
      <c r="K141" s="109"/>
      <c r="L141" s="255"/>
      <c r="M141" s="116"/>
      <c r="N141" s="116"/>
      <c r="O141" s="116"/>
      <c r="P141" s="116"/>
      <c r="Q141" s="116"/>
      <c r="R141" s="229"/>
      <c r="S141" s="32"/>
      <c r="T141" s="227"/>
      <c r="U141" s="229"/>
      <c r="V141" s="231"/>
      <c r="W141" s="233"/>
      <c r="X141" s="235"/>
      <c r="Y141" s="223"/>
      <c r="Z141" s="214"/>
      <c r="AA141" s="215"/>
    </row>
    <row r="142" spans="1:29" hidden="1" x14ac:dyDescent="0.2">
      <c r="B142" s="240" t="str">
        <f>B42</f>
        <v>MANT. Y REPARACION DE EQUIPO Y MOBILIARIO DE OFIC.</v>
      </c>
      <c r="C142" s="238">
        <v>1</v>
      </c>
      <c r="D142" s="224" t="s">
        <v>93</v>
      </c>
      <c r="E142" s="283"/>
      <c r="F142" s="228"/>
      <c r="G142" s="228"/>
      <c r="H142" s="125"/>
      <c r="I142" s="108"/>
      <c r="J142" s="125"/>
      <c r="K142" s="108"/>
      <c r="L142" s="224"/>
      <c r="M142" s="115"/>
      <c r="N142" s="115"/>
      <c r="O142" s="115"/>
      <c r="P142" s="115"/>
      <c r="Q142" s="115"/>
      <c r="R142" s="228"/>
      <c r="S142" s="33"/>
      <c r="T142" s="274">
        <f t="shared" ref="T142" si="27">R142</f>
        <v>0</v>
      </c>
      <c r="U142" s="228"/>
      <c r="V142" s="230"/>
      <c r="W142" s="232"/>
      <c r="X142" s="234"/>
      <c r="Y142" s="222"/>
      <c r="Z142" s="212">
        <f>W142+X142+Y142</f>
        <v>0</v>
      </c>
      <c r="AA142" s="213"/>
    </row>
    <row r="143" spans="1:29" hidden="1" x14ac:dyDescent="0.2">
      <c r="B143" s="241"/>
      <c r="C143" s="239"/>
      <c r="D143" s="239"/>
      <c r="E143" s="258"/>
      <c r="F143" s="229"/>
      <c r="G143" s="229"/>
      <c r="H143" s="121"/>
      <c r="I143" s="109"/>
      <c r="J143" s="121"/>
      <c r="K143" s="109"/>
      <c r="L143" s="255"/>
      <c r="M143" s="116"/>
      <c r="N143" s="116"/>
      <c r="O143" s="116"/>
      <c r="P143" s="116"/>
      <c r="Q143" s="116"/>
      <c r="R143" s="229"/>
      <c r="S143" s="32"/>
      <c r="T143" s="227"/>
      <c r="U143" s="229"/>
      <c r="V143" s="231"/>
      <c r="W143" s="233"/>
      <c r="X143" s="235"/>
      <c r="Y143" s="223"/>
      <c r="Z143" s="214"/>
      <c r="AA143" s="215"/>
    </row>
    <row r="144" spans="1:29" hidden="1" x14ac:dyDescent="0.2">
      <c r="B144" s="240" t="str">
        <f>B43</f>
        <v>MANT. Y REP. DE EQUIPO DE COMPUTO Y SIST. DE INF.</v>
      </c>
      <c r="C144" s="238">
        <v>1</v>
      </c>
      <c r="D144" s="238" t="str">
        <f>A43</f>
        <v>E-10808</v>
      </c>
      <c r="E144" s="61">
        <v>611</v>
      </c>
      <c r="F144" s="228">
        <v>612</v>
      </c>
      <c r="G144" s="54">
        <f>E144*F144</f>
        <v>373932</v>
      </c>
      <c r="H144" s="125"/>
      <c r="I144" s="108"/>
      <c r="J144" s="125"/>
      <c r="K144" s="108"/>
      <c r="L144" s="70">
        <v>6</v>
      </c>
      <c r="M144" s="115"/>
      <c r="N144" s="115"/>
      <c r="O144" s="115"/>
      <c r="P144" s="115"/>
      <c r="Q144" s="115"/>
      <c r="R144" s="54">
        <f>G144*L144</f>
        <v>2243592</v>
      </c>
      <c r="S144" s="33">
        <v>341408</v>
      </c>
      <c r="T144" s="274">
        <f>R144+R146+R145+S146+S144+S145</f>
        <v>23100000</v>
      </c>
      <c r="U144" s="228"/>
      <c r="V144" s="68" t="s">
        <v>180</v>
      </c>
      <c r="W144" s="232"/>
      <c r="X144" s="234">
        <f>21000000</f>
        <v>21000000</v>
      </c>
      <c r="Y144" s="279">
        <v>2100000</v>
      </c>
      <c r="Z144" s="212">
        <f>W144+X144+Y144</f>
        <v>23100000</v>
      </c>
      <c r="AA144" s="213"/>
      <c r="AC144" s="228"/>
    </row>
    <row r="145" spans="2:29" ht="25.5" hidden="1" x14ac:dyDescent="0.2">
      <c r="B145" s="248"/>
      <c r="C145" s="245"/>
      <c r="D145" s="245"/>
      <c r="E145" s="74"/>
      <c r="F145" s="254"/>
      <c r="G145" s="72">
        <v>0</v>
      </c>
      <c r="H145" s="120"/>
      <c r="I145" s="114"/>
      <c r="J145" s="120"/>
      <c r="K145" s="114"/>
      <c r="L145" s="75">
        <v>1</v>
      </c>
      <c r="M145" s="117"/>
      <c r="N145" s="117"/>
      <c r="O145" s="117"/>
      <c r="P145" s="117"/>
      <c r="Q145" s="117"/>
      <c r="R145" s="100">
        <v>2730000</v>
      </c>
      <c r="S145" s="113">
        <v>0</v>
      </c>
      <c r="T145" s="274"/>
      <c r="U145" s="254"/>
      <c r="V145" s="73" t="s">
        <v>179</v>
      </c>
      <c r="W145" s="281"/>
      <c r="X145" s="275"/>
      <c r="Y145" s="284"/>
      <c r="Z145" s="216"/>
      <c r="AA145" s="217"/>
      <c r="AB145" s="52">
        <f>Z144-T144</f>
        <v>0</v>
      </c>
      <c r="AC145" s="229"/>
    </row>
    <row r="146" spans="2:29" ht="25.5" hidden="1" x14ac:dyDescent="0.2">
      <c r="B146" s="241" t="str">
        <f>B44</f>
        <v>MANTENIMIENTO Y REPARACION DE OTROS EQUIPOS</v>
      </c>
      <c r="C146" s="239"/>
      <c r="D146" s="239" t="str">
        <f>A44</f>
        <v>E-10899</v>
      </c>
      <c r="E146" s="60">
        <v>4747</v>
      </c>
      <c r="F146" s="229"/>
      <c r="G146" s="55">
        <f>E146*F144</f>
        <v>2905164</v>
      </c>
      <c r="H146" s="121"/>
      <c r="I146" s="109"/>
      <c r="J146" s="121"/>
      <c r="K146" s="109"/>
      <c r="L146" s="71">
        <v>6</v>
      </c>
      <c r="M146" s="117"/>
      <c r="N146" s="117"/>
      <c r="O146" s="117"/>
      <c r="P146" s="117"/>
      <c r="Q146" s="117"/>
      <c r="R146" s="67">
        <f>G146*L146</f>
        <v>17430984</v>
      </c>
      <c r="S146" s="32">
        <v>354016</v>
      </c>
      <c r="T146" s="227"/>
      <c r="U146" s="229"/>
      <c r="V146" s="69" t="s">
        <v>182</v>
      </c>
      <c r="W146" s="233"/>
      <c r="X146" s="235"/>
      <c r="Y146" s="280"/>
      <c r="Z146" s="214"/>
      <c r="AA146" s="215"/>
    </row>
    <row r="147" spans="2:29" ht="12.75" hidden="1" customHeight="1" x14ac:dyDescent="0.2">
      <c r="B147" s="240" t="str">
        <f>B44</f>
        <v>MANTENIMIENTO Y REPARACION DE OTROS EQUIPOS</v>
      </c>
      <c r="C147" s="238">
        <v>1</v>
      </c>
      <c r="D147" s="224" t="s">
        <v>95</v>
      </c>
      <c r="E147" s="283"/>
      <c r="F147" s="228"/>
      <c r="G147" s="228">
        <v>100000</v>
      </c>
      <c r="H147" s="125"/>
      <c r="I147" s="108"/>
      <c r="J147" s="125"/>
      <c r="K147" s="108"/>
      <c r="L147" s="224">
        <v>1</v>
      </c>
      <c r="M147" s="115"/>
      <c r="N147" s="115"/>
      <c r="O147" s="115"/>
      <c r="P147" s="115"/>
      <c r="Q147" s="115"/>
      <c r="R147" s="228">
        <v>100000</v>
      </c>
      <c r="S147" s="33"/>
      <c r="T147" s="274">
        <f>R147+S148</f>
        <v>300000</v>
      </c>
      <c r="U147" s="228"/>
      <c r="V147" s="230" t="s">
        <v>177</v>
      </c>
      <c r="W147" s="232"/>
      <c r="X147" s="234">
        <f>T147</f>
        <v>300000</v>
      </c>
      <c r="Y147" s="222"/>
      <c r="Z147" s="212">
        <f>W147+X147+Y147</f>
        <v>300000</v>
      </c>
      <c r="AA147" s="213"/>
    </row>
    <row r="148" spans="2:29" hidden="1" x14ac:dyDescent="0.2">
      <c r="B148" s="241"/>
      <c r="C148" s="239"/>
      <c r="D148" s="239"/>
      <c r="E148" s="258"/>
      <c r="F148" s="229"/>
      <c r="G148" s="229"/>
      <c r="H148" s="121"/>
      <c r="I148" s="109"/>
      <c r="J148" s="121"/>
      <c r="K148" s="109"/>
      <c r="L148" s="255"/>
      <c r="M148" s="116"/>
      <c r="N148" s="116"/>
      <c r="O148" s="116"/>
      <c r="P148" s="116"/>
      <c r="Q148" s="116"/>
      <c r="R148" s="229"/>
      <c r="S148" s="99">
        <v>200000</v>
      </c>
      <c r="T148" s="227"/>
      <c r="U148" s="229"/>
      <c r="V148" s="231"/>
      <c r="W148" s="233"/>
      <c r="X148" s="235"/>
      <c r="Y148" s="223"/>
      <c r="Z148" s="214"/>
      <c r="AA148" s="215"/>
      <c r="AB148" s="52">
        <f>Z147-T147</f>
        <v>0</v>
      </c>
    </row>
    <row r="149" spans="2:29" hidden="1" x14ac:dyDescent="0.2">
      <c r="B149" s="240" t="str">
        <f>B45</f>
        <v>OTROS IMPUESTOS</v>
      </c>
      <c r="C149" s="238">
        <v>1</v>
      </c>
      <c r="D149" s="238" t="str">
        <f>A45</f>
        <v>E-10999</v>
      </c>
      <c r="E149" s="283"/>
      <c r="F149" s="228"/>
      <c r="G149" s="228">
        <v>400000</v>
      </c>
      <c r="H149" s="125"/>
      <c r="I149" s="108"/>
      <c r="J149" s="125"/>
      <c r="K149" s="108"/>
      <c r="L149" s="224">
        <v>1</v>
      </c>
      <c r="M149" s="115"/>
      <c r="N149" s="115"/>
      <c r="O149" s="115"/>
      <c r="P149" s="115"/>
      <c r="Q149" s="115"/>
      <c r="R149" s="228">
        <f>G149*L149</f>
        <v>400000</v>
      </c>
      <c r="S149" s="33"/>
      <c r="T149" s="274">
        <f>R149+S150</f>
        <v>450000</v>
      </c>
      <c r="U149" s="228" t="str">
        <f>U136</f>
        <v>N/A</v>
      </c>
      <c r="V149" s="230" t="s">
        <v>178</v>
      </c>
      <c r="W149" s="232"/>
      <c r="X149" s="234">
        <f>T149</f>
        <v>450000</v>
      </c>
      <c r="Y149" s="222"/>
      <c r="Z149" s="212">
        <f>W149+X149+Y149</f>
        <v>450000</v>
      </c>
      <c r="AA149" s="213"/>
    </row>
    <row r="150" spans="2:29" hidden="1" x14ac:dyDescent="0.2">
      <c r="B150" s="241" t="str">
        <f>B46</f>
        <v>INTERESES MORATORIOS Y MULTAS</v>
      </c>
      <c r="C150" s="239"/>
      <c r="D150" s="239" t="str">
        <f>A46</f>
        <v>E-19902</v>
      </c>
      <c r="E150" s="258"/>
      <c r="F150" s="229"/>
      <c r="G150" s="229"/>
      <c r="H150" s="121"/>
      <c r="I150" s="109"/>
      <c r="J150" s="121"/>
      <c r="K150" s="109"/>
      <c r="L150" s="255"/>
      <c r="M150" s="116"/>
      <c r="N150" s="116"/>
      <c r="O150" s="116"/>
      <c r="P150" s="116"/>
      <c r="Q150" s="116"/>
      <c r="R150" s="229"/>
      <c r="S150" s="99">
        <v>50000</v>
      </c>
      <c r="T150" s="227"/>
      <c r="U150" s="229"/>
      <c r="V150" s="231"/>
      <c r="W150" s="233"/>
      <c r="X150" s="235"/>
      <c r="Y150" s="223"/>
      <c r="Z150" s="214"/>
      <c r="AA150" s="215"/>
      <c r="AB150" s="52">
        <f>Z149-T149</f>
        <v>0</v>
      </c>
    </row>
    <row r="151" spans="2:29" ht="12.75" hidden="1" customHeight="1" x14ac:dyDescent="0.2">
      <c r="B151" s="240" t="str">
        <f>B46</f>
        <v>INTERESES MORATORIOS Y MULTAS</v>
      </c>
      <c r="C151" s="238">
        <v>1</v>
      </c>
      <c r="D151" s="224" t="s">
        <v>99</v>
      </c>
      <c r="E151" s="283"/>
      <c r="F151" s="228"/>
      <c r="G151" s="228">
        <v>50000</v>
      </c>
      <c r="H151" s="125"/>
      <c r="I151" s="108"/>
      <c r="J151" s="125"/>
      <c r="K151" s="108"/>
      <c r="L151" s="224">
        <v>1</v>
      </c>
      <c r="M151" s="115"/>
      <c r="N151" s="115"/>
      <c r="O151" s="115"/>
      <c r="P151" s="115"/>
      <c r="Q151" s="115"/>
      <c r="R151" s="228">
        <f>G151*L151</f>
        <v>50000</v>
      </c>
      <c r="S151" s="33"/>
      <c r="T151" s="274">
        <f t="shared" ref="T151" si="28">R151</f>
        <v>50000</v>
      </c>
      <c r="U151" s="228" t="str">
        <f>U149</f>
        <v>N/A</v>
      </c>
      <c r="V151" s="230" t="s">
        <v>199</v>
      </c>
      <c r="W151" s="232"/>
      <c r="X151" s="234">
        <f>T151</f>
        <v>50000</v>
      </c>
      <c r="Y151" s="222"/>
      <c r="Z151" s="212">
        <f>W151+X151+Y151</f>
        <v>50000</v>
      </c>
      <c r="AA151" s="213"/>
    </row>
    <row r="152" spans="2:29" hidden="1" x14ac:dyDescent="0.2">
      <c r="B152" s="241"/>
      <c r="C152" s="239"/>
      <c r="D152" s="239"/>
      <c r="E152" s="258"/>
      <c r="F152" s="229"/>
      <c r="G152" s="229"/>
      <c r="H152" s="121"/>
      <c r="I152" s="109"/>
      <c r="J152" s="121"/>
      <c r="K152" s="109"/>
      <c r="L152" s="255"/>
      <c r="M152" s="116"/>
      <c r="N152" s="116"/>
      <c r="O152" s="116"/>
      <c r="P152" s="116"/>
      <c r="Q152" s="116"/>
      <c r="R152" s="229"/>
      <c r="S152" s="32"/>
      <c r="T152" s="227"/>
      <c r="U152" s="229"/>
      <c r="V152" s="231"/>
      <c r="W152" s="233"/>
      <c r="X152" s="235"/>
      <c r="Y152" s="223"/>
      <c r="Z152" s="214"/>
      <c r="AA152" s="215"/>
      <c r="AB152" s="52">
        <f>Z151-T151</f>
        <v>0</v>
      </c>
    </row>
    <row r="153" spans="2:29" hidden="1" x14ac:dyDescent="0.2">
      <c r="B153" s="240" t="str">
        <f>B47</f>
        <v>DEDUCIBLES</v>
      </c>
      <c r="C153" s="238">
        <v>1</v>
      </c>
      <c r="D153" s="238" t="str">
        <f>A47</f>
        <v>E-19905</v>
      </c>
      <c r="E153" s="283"/>
      <c r="F153" s="228"/>
      <c r="G153" s="228">
        <v>900000</v>
      </c>
      <c r="H153" s="125"/>
      <c r="I153" s="108"/>
      <c r="J153" s="125"/>
      <c r="K153" s="108"/>
      <c r="L153" s="224">
        <v>1</v>
      </c>
      <c r="M153" s="115"/>
      <c r="N153" s="115"/>
      <c r="O153" s="115"/>
      <c r="P153" s="115"/>
      <c r="Q153" s="115"/>
      <c r="R153" s="228">
        <f>G153*L153</f>
        <v>900000</v>
      </c>
      <c r="S153" s="33"/>
      <c r="T153" s="274">
        <f>R153+S154</f>
        <v>1000000</v>
      </c>
      <c r="U153" s="228" t="str">
        <f>U151</f>
        <v>N/A</v>
      </c>
      <c r="V153" s="230" t="s">
        <v>198</v>
      </c>
      <c r="W153" s="232"/>
      <c r="X153" s="234">
        <f>T153</f>
        <v>1000000</v>
      </c>
      <c r="Y153" s="222"/>
      <c r="Z153" s="212">
        <f>W153+X153+Y153</f>
        <v>1000000</v>
      </c>
      <c r="AA153" s="213"/>
    </row>
    <row r="154" spans="2:29" hidden="1" x14ac:dyDescent="0.2">
      <c r="B154" s="241" t="str">
        <f>B48</f>
        <v>PARTIDA 2</v>
      </c>
      <c r="C154" s="239"/>
      <c r="D154" s="239"/>
      <c r="E154" s="258"/>
      <c r="F154" s="229"/>
      <c r="G154" s="229"/>
      <c r="H154" s="121"/>
      <c r="I154" s="109"/>
      <c r="J154" s="121"/>
      <c r="K154" s="109"/>
      <c r="L154" s="255"/>
      <c r="M154" s="116"/>
      <c r="N154" s="116"/>
      <c r="O154" s="116"/>
      <c r="P154" s="116"/>
      <c r="Q154" s="116"/>
      <c r="R154" s="229"/>
      <c r="S154" s="32">
        <v>100000</v>
      </c>
      <c r="T154" s="227"/>
      <c r="U154" s="229"/>
      <c r="V154" s="231"/>
      <c r="W154" s="233"/>
      <c r="X154" s="235"/>
      <c r="Y154" s="223"/>
      <c r="Z154" s="214"/>
      <c r="AA154" s="215"/>
      <c r="AB154" s="52">
        <f>Z153-T153</f>
        <v>0</v>
      </c>
    </row>
    <row r="155" spans="2:29" hidden="1" x14ac:dyDescent="0.2">
      <c r="B155" s="240" t="str">
        <f>B49</f>
        <v>COMBUSTIBLES Y LUBRICANTES</v>
      </c>
      <c r="C155" s="238">
        <v>1</v>
      </c>
      <c r="D155" s="238" t="str">
        <f>A49</f>
        <v>E-20101</v>
      </c>
      <c r="E155" s="283"/>
      <c r="F155" s="228"/>
      <c r="G155" s="228"/>
      <c r="H155" s="125"/>
      <c r="I155" s="108"/>
      <c r="J155" s="125"/>
      <c r="K155" s="108"/>
      <c r="L155" s="224"/>
      <c r="M155" s="115"/>
      <c r="N155" s="115"/>
      <c r="O155" s="115"/>
      <c r="P155" s="115"/>
      <c r="Q155" s="115"/>
      <c r="R155" s="228"/>
      <c r="S155" s="33"/>
      <c r="T155" s="274">
        <f t="shared" ref="T155" si="29">R155</f>
        <v>0</v>
      </c>
      <c r="U155" s="228" t="str">
        <f>U153</f>
        <v>N/A</v>
      </c>
      <c r="V155" s="230"/>
      <c r="W155" s="232"/>
      <c r="X155" s="234"/>
      <c r="Y155" s="222"/>
      <c r="Z155" s="212">
        <f>W155+X155+Y155</f>
        <v>0</v>
      </c>
      <c r="AA155" s="213"/>
      <c r="AB155" s="52"/>
    </row>
    <row r="156" spans="2:29" hidden="1" x14ac:dyDescent="0.2">
      <c r="B156" s="241" t="str">
        <f>B50</f>
        <v>PRODUCTOS FARMACEUTICOS Y MEDICINALES</v>
      </c>
      <c r="C156" s="239"/>
      <c r="D156" s="239" t="str">
        <f>A50</f>
        <v>E-20102</v>
      </c>
      <c r="E156" s="258"/>
      <c r="F156" s="229"/>
      <c r="G156" s="229"/>
      <c r="H156" s="121"/>
      <c r="I156" s="109"/>
      <c r="J156" s="121"/>
      <c r="K156" s="109"/>
      <c r="L156" s="255"/>
      <c r="M156" s="116"/>
      <c r="N156" s="116"/>
      <c r="O156" s="116"/>
      <c r="P156" s="116"/>
      <c r="Q156" s="116"/>
      <c r="R156" s="229"/>
      <c r="S156" s="32"/>
      <c r="T156" s="227"/>
      <c r="U156" s="229"/>
      <c r="V156" s="231"/>
      <c r="W156" s="233"/>
      <c r="X156" s="235"/>
      <c r="Y156" s="223"/>
      <c r="Z156" s="214"/>
      <c r="AA156" s="215"/>
      <c r="AB156" s="52">
        <f>Z155-T155</f>
        <v>0</v>
      </c>
    </row>
    <row r="157" spans="2:29" ht="12.75" hidden="1" customHeight="1" x14ac:dyDescent="0.2">
      <c r="B157" s="240" t="str">
        <f>B50</f>
        <v>PRODUCTOS FARMACEUTICOS Y MEDICINALES</v>
      </c>
      <c r="C157" s="238">
        <v>1</v>
      </c>
      <c r="D157" s="224" t="s">
        <v>101</v>
      </c>
      <c r="E157" s="283"/>
      <c r="F157" s="228"/>
      <c r="G157" s="228"/>
      <c r="H157" s="125"/>
      <c r="I157" s="108"/>
      <c r="J157" s="125"/>
      <c r="K157" s="108"/>
      <c r="L157" s="224"/>
      <c r="M157" s="115"/>
      <c r="N157" s="115"/>
      <c r="O157" s="115"/>
      <c r="P157" s="115"/>
      <c r="Q157" s="115"/>
      <c r="R157" s="228">
        <v>95000</v>
      </c>
      <c r="S157" s="33"/>
      <c r="T157" s="274">
        <f>R157+S158</f>
        <v>800000</v>
      </c>
      <c r="U157" s="228"/>
      <c r="V157" s="230" t="s">
        <v>183</v>
      </c>
      <c r="W157" s="232">
        <v>0</v>
      </c>
      <c r="X157" s="234">
        <v>751000</v>
      </c>
      <c r="Y157" s="279">
        <v>49000</v>
      </c>
      <c r="Z157" s="212">
        <f>W157+X157+Y157</f>
        <v>800000</v>
      </c>
      <c r="AA157" s="213"/>
      <c r="AB157" s="52"/>
    </row>
    <row r="158" spans="2:29" ht="36.75" hidden="1" customHeight="1" x14ac:dyDescent="0.2">
      <c r="B158" s="241" t="str">
        <f>B50</f>
        <v>PRODUCTOS FARMACEUTICOS Y MEDICINALES</v>
      </c>
      <c r="C158" s="239"/>
      <c r="D158" s="255"/>
      <c r="E158" s="258"/>
      <c r="F158" s="229"/>
      <c r="G158" s="229"/>
      <c r="H158" s="121"/>
      <c r="I158" s="109"/>
      <c r="J158" s="121"/>
      <c r="K158" s="109"/>
      <c r="L158" s="255"/>
      <c r="M158" s="116"/>
      <c r="N158" s="116"/>
      <c r="O158" s="116"/>
      <c r="P158" s="116"/>
      <c r="Q158" s="116"/>
      <c r="R158" s="229"/>
      <c r="S158" s="99">
        <v>705000</v>
      </c>
      <c r="T158" s="227"/>
      <c r="U158" s="229"/>
      <c r="V158" s="231"/>
      <c r="W158" s="233"/>
      <c r="X158" s="235"/>
      <c r="Y158" s="280"/>
      <c r="Z158" s="214"/>
      <c r="AA158" s="215"/>
      <c r="AB158" s="52">
        <f>Z157-T157</f>
        <v>0</v>
      </c>
    </row>
    <row r="159" spans="2:29" hidden="1" x14ac:dyDescent="0.2">
      <c r="B159" s="240" t="str">
        <f>B51</f>
        <v>TINTAS, PINTURAS Y DILUYENTES</v>
      </c>
      <c r="C159" s="238">
        <v>1</v>
      </c>
      <c r="D159" s="238" t="str">
        <f>A51</f>
        <v>E-20104</v>
      </c>
      <c r="E159" s="283"/>
      <c r="F159" s="228"/>
      <c r="G159" s="228"/>
      <c r="H159" s="125"/>
      <c r="I159" s="108"/>
      <c r="J159" s="125"/>
      <c r="K159" s="108"/>
      <c r="L159" s="224"/>
      <c r="M159" s="115"/>
      <c r="N159" s="115"/>
      <c r="O159" s="115"/>
      <c r="P159" s="115"/>
      <c r="Q159" s="115"/>
      <c r="R159" s="228">
        <v>1804000</v>
      </c>
      <c r="S159" s="33"/>
      <c r="T159" s="274">
        <f>R159+S160</f>
        <v>2100000</v>
      </c>
      <c r="U159" s="228"/>
      <c r="V159" s="230" t="s">
        <v>184</v>
      </c>
      <c r="W159" s="232"/>
      <c r="X159" s="234">
        <v>1198000</v>
      </c>
      <c r="Y159" s="279">
        <v>902000</v>
      </c>
      <c r="Z159" s="212">
        <f>W159+X159+Y159</f>
        <v>2100000</v>
      </c>
      <c r="AA159" s="213"/>
      <c r="AB159" s="52"/>
    </row>
    <row r="160" spans="2:29" hidden="1" x14ac:dyDescent="0.2">
      <c r="B160" s="241" t="str">
        <f>B52</f>
        <v>OTROS PRODUCTOS QUIMICOS Y CONEXOS</v>
      </c>
      <c r="C160" s="239"/>
      <c r="D160" s="239" t="str">
        <f>A52</f>
        <v>E-20199</v>
      </c>
      <c r="E160" s="258"/>
      <c r="F160" s="229"/>
      <c r="G160" s="229"/>
      <c r="H160" s="121"/>
      <c r="I160" s="109"/>
      <c r="J160" s="121"/>
      <c r="K160" s="109"/>
      <c r="L160" s="255"/>
      <c r="M160" s="116"/>
      <c r="N160" s="116"/>
      <c r="O160" s="116"/>
      <c r="P160" s="116"/>
      <c r="Q160" s="116"/>
      <c r="R160" s="229"/>
      <c r="S160" s="99">
        <v>296000</v>
      </c>
      <c r="T160" s="227"/>
      <c r="U160" s="229"/>
      <c r="V160" s="231"/>
      <c r="W160" s="233"/>
      <c r="X160" s="235"/>
      <c r="Y160" s="280"/>
      <c r="Z160" s="214"/>
      <c r="AA160" s="215"/>
      <c r="AB160" s="52">
        <f>Z159-T159</f>
        <v>0</v>
      </c>
    </row>
    <row r="161" spans="2:28" ht="12.75" hidden="1" customHeight="1" x14ac:dyDescent="0.2">
      <c r="B161" s="240" t="str">
        <f>B52</f>
        <v>OTROS PRODUCTOS QUIMICOS Y CONEXOS</v>
      </c>
      <c r="C161" s="238">
        <v>1</v>
      </c>
      <c r="D161" s="224" t="s">
        <v>105</v>
      </c>
      <c r="E161" s="283"/>
      <c r="F161" s="228"/>
      <c r="G161" s="228"/>
      <c r="H161" s="125"/>
      <c r="I161" s="108"/>
      <c r="J161" s="125"/>
      <c r="K161" s="108"/>
      <c r="L161" s="224"/>
      <c r="M161" s="115"/>
      <c r="N161" s="115"/>
      <c r="O161" s="115"/>
      <c r="P161" s="115"/>
      <c r="Q161" s="115"/>
      <c r="R161" s="228">
        <v>20000</v>
      </c>
      <c r="S161" s="33"/>
      <c r="T161" s="274">
        <f>R161+S162</f>
        <v>50000</v>
      </c>
      <c r="U161" s="228"/>
      <c r="V161" s="230" t="s">
        <v>185</v>
      </c>
      <c r="W161" s="232"/>
      <c r="X161" s="234">
        <f>T161</f>
        <v>50000</v>
      </c>
      <c r="Y161" s="222"/>
      <c r="Z161" s="212">
        <f>W161+X161+Y161</f>
        <v>50000</v>
      </c>
      <c r="AA161" s="213"/>
      <c r="AB161" s="52"/>
    </row>
    <row r="162" spans="2:28" hidden="1" x14ac:dyDescent="0.2">
      <c r="B162" s="241"/>
      <c r="C162" s="239"/>
      <c r="D162" s="239"/>
      <c r="E162" s="258"/>
      <c r="F162" s="229"/>
      <c r="G162" s="229"/>
      <c r="H162" s="121"/>
      <c r="I162" s="109"/>
      <c r="J162" s="121"/>
      <c r="K162" s="109"/>
      <c r="L162" s="255"/>
      <c r="M162" s="116"/>
      <c r="N162" s="116"/>
      <c r="O162" s="116"/>
      <c r="P162" s="116"/>
      <c r="Q162" s="116"/>
      <c r="R162" s="229"/>
      <c r="S162" s="99">
        <v>30000</v>
      </c>
      <c r="T162" s="227"/>
      <c r="U162" s="229"/>
      <c r="V162" s="231"/>
      <c r="W162" s="233"/>
      <c r="X162" s="235"/>
      <c r="Y162" s="223"/>
      <c r="Z162" s="214"/>
      <c r="AA162" s="215"/>
      <c r="AB162" s="52">
        <f>Z161-T161</f>
        <v>0</v>
      </c>
    </row>
    <row r="163" spans="2:28" ht="12.75" hidden="1" customHeight="1" x14ac:dyDescent="0.2">
      <c r="B163" s="240" t="str">
        <f>B53</f>
        <v>ALIMENTOS Y BEBIDAS</v>
      </c>
      <c r="C163" s="238">
        <v>1</v>
      </c>
      <c r="D163" s="238" t="str">
        <f>A53</f>
        <v>E-20203</v>
      </c>
      <c r="E163" s="283"/>
      <c r="F163" s="228"/>
      <c r="G163" s="228"/>
      <c r="H163" s="125"/>
      <c r="I163" s="108"/>
      <c r="J163" s="125"/>
      <c r="K163" s="108"/>
      <c r="L163" s="224"/>
      <c r="M163" s="115"/>
      <c r="N163" s="115"/>
      <c r="O163" s="115"/>
      <c r="P163" s="115"/>
      <c r="Q163" s="115"/>
      <c r="R163" s="228">
        <f>411350-161578</f>
        <v>249772</v>
      </c>
      <c r="S163" s="33"/>
      <c r="T163" s="274">
        <f>R163+S164</f>
        <v>411000</v>
      </c>
      <c r="U163" s="228"/>
      <c r="V163" s="230" t="s">
        <v>195</v>
      </c>
      <c r="W163" s="232"/>
      <c r="X163" s="234">
        <f>T163</f>
        <v>411000</v>
      </c>
      <c r="Y163" s="222"/>
      <c r="Z163" s="212">
        <f>W163+X163+Y163</f>
        <v>411000</v>
      </c>
      <c r="AA163" s="213"/>
      <c r="AB163" s="52"/>
    </row>
    <row r="164" spans="2:28" hidden="1" x14ac:dyDescent="0.2">
      <c r="B164" s="241" t="str">
        <f>B54</f>
        <v>MAT. Y PROD. ELECTRICOS, TELEFONICOS Y DE COMPUTO</v>
      </c>
      <c r="C164" s="239"/>
      <c r="D164" s="239" t="str">
        <f>A54</f>
        <v>E-20304</v>
      </c>
      <c r="E164" s="258"/>
      <c r="F164" s="229"/>
      <c r="G164" s="229"/>
      <c r="H164" s="121"/>
      <c r="I164" s="109"/>
      <c r="J164" s="121"/>
      <c r="K164" s="109"/>
      <c r="L164" s="255"/>
      <c r="M164" s="116"/>
      <c r="N164" s="116"/>
      <c r="O164" s="116"/>
      <c r="P164" s="116"/>
      <c r="Q164" s="116"/>
      <c r="R164" s="229"/>
      <c r="S164" s="99">
        <v>161228</v>
      </c>
      <c r="T164" s="227"/>
      <c r="U164" s="229"/>
      <c r="V164" s="231"/>
      <c r="W164" s="233"/>
      <c r="X164" s="235"/>
      <c r="Y164" s="223"/>
      <c r="Z164" s="214"/>
      <c r="AA164" s="215"/>
      <c r="AB164" s="52">
        <f>Z163-T163</f>
        <v>0</v>
      </c>
    </row>
    <row r="165" spans="2:28" ht="12.75" hidden="1" customHeight="1" x14ac:dyDescent="0.2">
      <c r="B165" s="240" t="str">
        <f>B54</f>
        <v>MAT. Y PROD. ELECTRICOS, TELEFONICOS Y DE COMPUTO</v>
      </c>
      <c r="C165" s="238">
        <v>1</v>
      </c>
      <c r="D165" s="224" t="s">
        <v>53</v>
      </c>
      <c r="E165" s="283"/>
      <c r="F165" s="228"/>
      <c r="G165" s="228"/>
      <c r="H165" s="125"/>
      <c r="I165" s="108"/>
      <c r="J165" s="125"/>
      <c r="K165" s="108"/>
      <c r="L165" s="224"/>
      <c r="M165" s="115"/>
      <c r="N165" s="115"/>
      <c r="O165" s="115"/>
      <c r="P165" s="115"/>
      <c r="Q165" s="115"/>
      <c r="R165" s="242">
        <v>5537000</v>
      </c>
      <c r="S165" s="33"/>
      <c r="T165" s="274">
        <f t="shared" ref="T165" si="30">R165</f>
        <v>5537000</v>
      </c>
      <c r="U165" s="228"/>
      <c r="V165" s="230" t="s">
        <v>196</v>
      </c>
      <c r="W165" s="232"/>
      <c r="X165" s="234">
        <f>+T165</f>
        <v>5537000</v>
      </c>
      <c r="Y165" s="279">
        <v>0</v>
      </c>
      <c r="Z165" s="212">
        <f>W165+X165+Y165</f>
        <v>5537000</v>
      </c>
      <c r="AA165" s="213"/>
      <c r="AB165" s="52"/>
    </row>
    <row r="166" spans="2:28" hidden="1" x14ac:dyDescent="0.2">
      <c r="B166" s="241"/>
      <c r="C166" s="239"/>
      <c r="D166" s="239"/>
      <c r="E166" s="258"/>
      <c r="F166" s="229"/>
      <c r="G166" s="229"/>
      <c r="H166" s="121"/>
      <c r="I166" s="109"/>
      <c r="J166" s="121"/>
      <c r="K166" s="109"/>
      <c r="L166" s="255"/>
      <c r="M166" s="116"/>
      <c r="N166" s="116"/>
      <c r="O166" s="116"/>
      <c r="P166" s="116"/>
      <c r="Q166" s="116"/>
      <c r="R166" s="244"/>
      <c r="S166" s="32"/>
      <c r="T166" s="227"/>
      <c r="U166" s="229"/>
      <c r="V166" s="231"/>
      <c r="W166" s="233"/>
      <c r="X166" s="235"/>
      <c r="Y166" s="280"/>
      <c r="Z166" s="214"/>
      <c r="AA166" s="215"/>
      <c r="AB166" s="52">
        <f>Z165-T165</f>
        <v>0</v>
      </c>
    </row>
    <row r="167" spans="2:28" hidden="1" x14ac:dyDescent="0.2">
      <c r="B167" s="240" t="str">
        <f>B55</f>
        <v>HERRAMIENTAS E INSTRUMENTOS</v>
      </c>
      <c r="C167" s="238">
        <v>1</v>
      </c>
      <c r="D167" s="238" t="str">
        <f>A55</f>
        <v>E-20401</v>
      </c>
      <c r="E167" s="283"/>
      <c r="F167" s="228"/>
      <c r="G167" s="228"/>
      <c r="H167" s="125"/>
      <c r="I167" s="108"/>
      <c r="J167" s="125"/>
      <c r="K167" s="108"/>
      <c r="L167" s="224"/>
      <c r="M167" s="115"/>
      <c r="N167" s="115"/>
      <c r="O167" s="115"/>
      <c r="P167" s="115"/>
      <c r="Q167" s="115"/>
      <c r="R167" s="228">
        <v>90000</v>
      </c>
      <c r="S167" s="33"/>
      <c r="T167" s="274">
        <f>R167+S168</f>
        <v>170000</v>
      </c>
      <c r="U167" s="228"/>
      <c r="V167" s="230" t="s">
        <v>193</v>
      </c>
      <c r="W167" s="232"/>
      <c r="X167" s="234">
        <f>T167</f>
        <v>170000</v>
      </c>
      <c r="Y167" s="279">
        <v>0</v>
      </c>
      <c r="Z167" s="212">
        <f>W167+X167+Y167</f>
        <v>170000</v>
      </c>
      <c r="AA167" s="213"/>
      <c r="AB167" s="52"/>
    </row>
    <row r="168" spans="2:28" hidden="1" x14ac:dyDescent="0.2">
      <c r="B168" s="241" t="str">
        <f>B56</f>
        <v>REPUESTOS Y ACCESORIOS</v>
      </c>
      <c r="C168" s="239"/>
      <c r="D168" s="239" t="str">
        <f>A56</f>
        <v>E-20402</v>
      </c>
      <c r="E168" s="258"/>
      <c r="F168" s="229"/>
      <c r="G168" s="229"/>
      <c r="H168" s="121"/>
      <c r="I168" s="109"/>
      <c r="J168" s="121"/>
      <c r="K168" s="109"/>
      <c r="L168" s="255"/>
      <c r="M168" s="116"/>
      <c r="N168" s="116"/>
      <c r="O168" s="116"/>
      <c r="P168" s="116"/>
      <c r="Q168" s="116"/>
      <c r="R168" s="229"/>
      <c r="S168" s="99">
        <v>80000</v>
      </c>
      <c r="T168" s="227"/>
      <c r="U168" s="229"/>
      <c r="V168" s="231"/>
      <c r="W168" s="233"/>
      <c r="X168" s="235"/>
      <c r="Y168" s="280"/>
      <c r="Z168" s="214"/>
      <c r="AA168" s="215"/>
      <c r="AB168" s="52">
        <f>Z167-T167</f>
        <v>0</v>
      </c>
    </row>
    <row r="169" spans="2:28" hidden="1" x14ac:dyDescent="0.2">
      <c r="B169" s="240" t="str">
        <f>B56</f>
        <v>REPUESTOS Y ACCESORIOS</v>
      </c>
      <c r="C169" s="238">
        <v>1</v>
      </c>
      <c r="D169" s="224" t="s">
        <v>111</v>
      </c>
      <c r="E169" s="283"/>
      <c r="F169" s="228"/>
      <c r="G169" s="228"/>
      <c r="H169" s="125"/>
      <c r="I169" s="108"/>
      <c r="J169" s="125"/>
      <c r="K169" s="108"/>
      <c r="L169" s="224"/>
      <c r="M169" s="115"/>
      <c r="N169" s="115"/>
      <c r="O169" s="115"/>
      <c r="P169" s="115"/>
      <c r="Q169" s="115"/>
      <c r="R169" s="242">
        <v>876000</v>
      </c>
      <c r="S169" s="33"/>
      <c r="T169" s="274">
        <f t="shared" ref="T169" si="31">R169</f>
        <v>876000</v>
      </c>
      <c r="U169" s="228"/>
      <c r="V169" s="230"/>
      <c r="W169" s="232"/>
      <c r="X169" s="234">
        <f>T169</f>
        <v>876000</v>
      </c>
      <c r="Y169" s="222"/>
      <c r="Z169" s="212">
        <f>W169+X169+Y169</f>
        <v>876000</v>
      </c>
      <c r="AA169" s="213"/>
      <c r="AB169" s="52"/>
    </row>
    <row r="170" spans="2:28" hidden="1" x14ac:dyDescent="0.2">
      <c r="B170" s="241"/>
      <c r="C170" s="239"/>
      <c r="D170" s="239"/>
      <c r="E170" s="258"/>
      <c r="F170" s="229"/>
      <c r="G170" s="229"/>
      <c r="H170" s="121"/>
      <c r="I170" s="109"/>
      <c r="J170" s="121"/>
      <c r="K170" s="109"/>
      <c r="L170" s="255"/>
      <c r="M170" s="116"/>
      <c r="N170" s="116"/>
      <c r="O170" s="116"/>
      <c r="P170" s="116"/>
      <c r="Q170" s="116"/>
      <c r="R170" s="244"/>
      <c r="S170" s="32"/>
      <c r="T170" s="227"/>
      <c r="U170" s="229"/>
      <c r="V170" s="231"/>
      <c r="W170" s="233"/>
      <c r="X170" s="235"/>
      <c r="Y170" s="223"/>
      <c r="Z170" s="214"/>
      <c r="AA170" s="215"/>
      <c r="AB170" s="52">
        <f>Z169-T169</f>
        <v>0</v>
      </c>
    </row>
    <row r="171" spans="2:28" ht="12.75" hidden="1" customHeight="1" x14ac:dyDescent="0.2">
      <c r="B171" s="240" t="str">
        <f>B57</f>
        <v>UTILES Y MATERIALES DE OFICINA Y COMPUTO</v>
      </c>
      <c r="C171" s="238">
        <v>1</v>
      </c>
      <c r="D171" s="238" t="str">
        <f>A57</f>
        <v>E-29901</v>
      </c>
      <c r="E171" s="283"/>
      <c r="F171" s="228"/>
      <c r="G171" s="228"/>
      <c r="H171" s="125"/>
      <c r="I171" s="108"/>
      <c r="J171" s="125"/>
      <c r="K171" s="108"/>
      <c r="L171" s="224"/>
      <c r="M171" s="115"/>
      <c r="N171" s="115"/>
      <c r="O171" s="115"/>
      <c r="P171" s="115"/>
      <c r="Q171" s="115"/>
      <c r="R171" s="228">
        <v>418500</v>
      </c>
      <c r="S171" s="33"/>
      <c r="T171" s="274">
        <f>R171+S172</f>
        <v>958500</v>
      </c>
      <c r="U171" s="228"/>
      <c r="V171" s="230" t="s">
        <v>200</v>
      </c>
      <c r="W171" s="277">
        <v>308000</v>
      </c>
      <c r="X171" s="234">
        <v>297500</v>
      </c>
      <c r="Y171" s="279">
        <v>353000</v>
      </c>
      <c r="Z171" s="212">
        <f>W171+X171+Y171</f>
        <v>958500</v>
      </c>
      <c r="AA171" s="213"/>
      <c r="AB171" s="52"/>
    </row>
    <row r="172" spans="2:28" hidden="1" x14ac:dyDescent="0.2">
      <c r="B172" s="241" t="str">
        <f>B58</f>
        <v>UTILES Y MATERIALES MEDICO, HOSPITALARIO Y DE INV.</v>
      </c>
      <c r="C172" s="239"/>
      <c r="D172" s="239" t="str">
        <f>A58</f>
        <v>E-29902</v>
      </c>
      <c r="E172" s="258"/>
      <c r="F172" s="229"/>
      <c r="G172" s="229"/>
      <c r="H172" s="121"/>
      <c r="I172" s="109"/>
      <c r="J172" s="121"/>
      <c r="K172" s="109"/>
      <c r="L172" s="255"/>
      <c r="M172" s="116"/>
      <c r="N172" s="116"/>
      <c r="O172" s="116"/>
      <c r="P172" s="116"/>
      <c r="Q172" s="116"/>
      <c r="R172" s="229"/>
      <c r="S172" s="32">
        <v>540000</v>
      </c>
      <c r="T172" s="227"/>
      <c r="U172" s="229"/>
      <c r="V172" s="231"/>
      <c r="W172" s="278"/>
      <c r="X172" s="235"/>
      <c r="Y172" s="280"/>
      <c r="Z172" s="214"/>
      <c r="AA172" s="215"/>
      <c r="AB172" s="52">
        <f>Z171-T171</f>
        <v>0</v>
      </c>
    </row>
    <row r="173" spans="2:28" hidden="1" x14ac:dyDescent="0.2">
      <c r="B173" s="240" t="str">
        <f>B58</f>
        <v>UTILES Y MATERIALES MEDICO, HOSPITALARIO Y DE INV.</v>
      </c>
      <c r="C173" s="238">
        <v>1</v>
      </c>
      <c r="D173" s="224" t="s">
        <v>113</v>
      </c>
      <c r="E173" s="283"/>
      <c r="F173" s="228"/>
      <c r="G173" s="228"/>
      <c r="H173" s="125"/>
      <c r="I173" s="108"/>
      <c r="J173" s="125"/>
      <c r="K173" s="108"/>
      <c r="L173" s="224"/>
      <c r="M173" s="115"/>
      <c r="N173" s="115"/>
      <c r="O173" s="115"/>
      <c r="P173" s="115"/>
      <c r="Q173" s="115"/>
      <c r="R173" s="228">
        <f>1752350+172494-326000-844-200000</f>
        <v>1398000</v>
      </c>
      <c r="S173" s="33"/>
      <c r="T173" s="274">
        <f>R173+S174</f>
        <v>1753000</v>
      </c>
      <c r="U173" s="228"/>
      <c r="V173" s="230" t="s">
        <v>209</v>
      </c>
      <c r="W173" s="277"/>
      <c r="X173" s="234">
        <f>T173</f>
        <v>1753000</v>
      </c>
      <c r="Y173" s="222"/>
      <c r="Z173" s="212">
        <f>W173+X173+Y173</f>
        <v>1753000</v>
      </c>
      <c r="AA173" s="213"/>
      <c r="AB173" s="52"/>
    </row>
    <row r="174" spans="2:28" hidden="1" x14ac:dyDescent="0.2">
      <c r="B174" s="241"/>
      <c r="C174" s="239"/>
      <c r="D174" s="239"/>
      <c r="E174" s="258"/>
      <c r="F174" s="229"/>
      <c r="G174" s="229"/>
      <c r="H174" s="121"/>
      <c r="I174" s="109"/>
      <c r="J174" s="121"/>
      <c r="K174" s="109"/>
      <c r="L174" s="255"/>
      <c r="M174" s="116"/>
      <c r="N174" s="116"/>
      <c r="O174" s="116"/>
      <c r="P174" s="116"/>
      <c r="Q174" s="116"/>
      <c r="R174" s="229"/>
      <c r="S174" s="99">
        <v>355000</v>
      </c>
      <c r="T174" s="227"/>
      <c r="U174" s="229"/>
      <c r="V174" s="231"/>
      <c r="W174" s="278"/>
      <c r="X174" s="235"/>
      <c r="Y174" s="223"/>
      <c r="Z174" s="214"/>
      <c r="AA174" s="215"/>
      <c r="AB174" s="52">
        <f>Z173-T173</f>
        <v>0</v>
      </c>
    </row>
    <row r="175" spans="2:28" ht="12.75" hidden="1" customHeight="1" x14ac:dyDescent="0.2">
      <c r="B175" s="240" t="str">
        <f>B59</f>
        <v>PRODUCTOS DE PAPEL, CARTON E IMPRESOS</v>
      </c>
      <c r="C175" s="238">
        <v>1</v>
      </c>
      <c r="D175" s="238" t="str">
        <f>A59</f>
        <v>E-29903</v>
      </c>
      <c r="E175" s="283"/>
      <c r="F175" s="228"/>
      <c r="G175" s="228"/>
      <c r="H175" s="125"/>
      <c r="I175" s="108"/>
      <c r="J175" s="125"/>
      <c r="K175" s="108"/>
      <c r="L175" s="224"/>
      <c r="M175" s="115"/>
      <c r="N175" s="115"/>
      <c r="O175" s="115"/>
      <c r="P175" s="115"/>
      <c r="Q175" s="115"/>
      <c r="R175" s="228">
        <v>1000000</v>
      </c>
      <c r="S175" s="33"/>
      <c r="T175" s="274">
        <f t="shared" ref="T175" si="32">R175</f>
        <v>1000000</v>
      </c>
      <c r="U175" s="228"/>
      <c r="V175" s="230" t="s">
        <v>211</v>
      </c>
      <c r="W175" s="277">
        <v>60000</v>
      </c>
      <c r="X175" s="234">
        <v>645000</v>
      </c>
      <c r="Y175" s="279">
        <v>295000</v>
      </c>
      <c r="Z175" s="212">
        <f>W175+X175+Y175</f>
        <v>1000000</v>
      </c>
      <c r="AA175" s="213"/>
      <c r="AB175" s="52"/>
    </row>
    <row r="176" spans="2:28" ht="26.25" hidden="1" customHeight="1" x14ac:dyDescent="0.2">
      <c r="B176" s="241" t="str">
        <f>B60</f>
        <v>UTILES Y MATERIALES DE LIMPIEZA</v>
      </c>
      <c r="C176" s="239"/>
      <c r="D176" s="239" t="str">
        <f>A60</f>
        <v>E-29905</v>
      </c>
      <c r="E176" s="258"/>
      <c r="F176" s="229"/>
      <c r="G176" s="229"/>
      <c r="H176" s="121"/>
      <c r="I176" s="109"/>
      <c r="J176" s="121"/>
      <c r="K176" s="109"/>
      <c r="L176" s="255"/>
      <c r="M176" s="116"/>
      <c r="N176" s="116"/>
      <c r="O176" s="116"/>
      <c r="P176" s="116"/>
      <c r="Q176" s="116"/>
      <c r="R176" s="229"/>
      <c r="S176" s="32"/>
      <c r="T176" s="227"/>
      <c r="U176" s="229"/>
      <c r="V176" s="231"/>
      <c r="W176" s="278"/>
      <c r="X176" s="235"/>
      <c r="Y176" s="280"/>
      <c r="Z176" s="214"/>
      <c r="AA176" s="215"/>
      <c r="AB176" s="52">
        <f>Z175-T175</f>
        <v>0</v>
      </c>
    </row>
    <row r="177" spans="2:28" ht="12.75" hidden="1" customHeight="1" x14ac:dyDescent="0.2">
      <c r="B177" s="248" t="str">
        <f>B62</f>
        <v>PARTIDA 5</v>
      </c>
      <c r="C177" s="245"/>
      <c r="D177" s="245"/>
      <c r="E177" s="257"/>
      <c r="F177" s="254"/>
      <c r="G177" s="254"/>
      <c r="H177" s="120"/>
      <c r="I177" s="114"/>
      <c r="J177" s="120"/>
      <c r="K177" s="114"/>
      <c r="L177" s="225"/>
      <c r="M177" s="117"/>
      <c r="N177" s="117"/>
      <c r="O177" s="117"/>
      <c r="P177" s="117"/>
      <c r="Q177" s="117"/>
      <c r="R177" s="254"/>
      <c r="S177" s="33"/>
      <c r="T177" s="274">
        <f t="shared" ref="T177" si="33">R177</f>
        <v>0</v>
      </c>
      <c r="U177" s="254"/>
      <c r="V177" s="230"/>
      <c r="W177" s="232"/>
      <c r="X177" s="234"/>
      <c r="Y177" s="222"/>
      <c r="Z177" s="80"/>
      <c r="AA177" s="81"/>
      <c r="AB177" s="52">
        <f>Z176-T176</f>
        <v>0</v>
      </c>
    </row>
    <row r="178" spans="2:28" ht="12.75" hidden="1" customHeight="1" x14ac:dyDescent="0.2">
      <c r="B178" s="248" t="str">
        <f>B63</f>
        <v>EQUIPO DE COMUNICACION</v>
      </c>
      <c r="C178" s="245"/>
      <c r="D178" s="245" t="str">
        <f>A63</f>
        <v>E-50103</v>
      </c>
      <c r="E178" s="257"/>
      <c r="F178" s="254"/>
      <c r="G178" s="254"/>
      <c r="H178" s="120"/>
      <c r="I178" s="114"/>
      <c r="J178" s="120"/>
      <c r="K178" s="114"/>
      <c r="L178" s="225"/>
      <c r="M178" s="117"/>
      <c r="N178" s="117"/>
      <c r="O178" s="117"/>
      <c r="P178" s="117"/>
      <c r="Q178" s="117"/>
      <c r="R178" s="254"/>
      <c r="S178" s="33"/>
      <c r="T178" s="227"/>
      <c r="U178" s="254"/>
      <c r="V178" s="282"/>
      <c r="W178" s="233"/>
      <c r="X178" s="235"/>
      <c r="Y178" s="223"/>
      <c r="Z178" s="80"/>
      <c r="AA178" s="81"/>
      <c r="AB178" s="52">
        <f>Z177-T177</f>
        <v>0</v>
      </c>
    </row>
    <row r="179" spans="2:28" ht="12.75" hidden="1" customHeight="1" x14ac:dyDescent="0.2">
      <c r="B179" s="248" t="str">
        <f>B60</f>
        <v>UTILES Y MATERIALES DE LIMPIEZA</v>
      </c>
      <c r="C179" s="245">
        <v>1</v>
      </c>
      <c r="D179" s="225" t="s">
        <v>115</v>
      </c>
      <c r="E179" s="257"/>
      <c r="F179" s="254"/>
      <c r="G179" s="254"/>
      <c r="H179" s="120"/>
      <c r="I179" s="114"/>
      <c r="J179" s="120"/>
      <c r="K179" s="114"/>
      <c r="L179" s="225"/>
      <c r="M179" s="117"/>
      <c r="N179" s="117"/>
      <c r="O179" s="117"/>
      <c r="P179" s="117"/>
      <c r="Q179" s="117"/>
      <c r="R179" s="254">
        <f>4000000-312800+46000</f>
        <v>3733200</v>
      </c>
      <c r="S179" s="33"/>
      <c r="T179" s="274">
        <f>R179+S180</f>
        <v>4796000</v>
      </c>
      <c r="U179" s="254"/>
      <c r="V179" s="282" t="s">
        <v>192</v>
      </c>
      <c r="W179" s="232"/>
      <c r="X179" s="234">
        <f>T179</f>
        <v>4796000</v>
      </c>
      <c r="Y179" s="222"/>
      <c r="Z179" s="212">
        <f>W179+X179+Y179</f>
        <v>4796000</v>
      </c>
      <c r="AA179" s="213"/>
      <c r="AB179" s="52"/>
    </row>
    <row r="180" spans="2:28" hidden="1" x14ac:dyDescent="0.2">
      <c r="B180" s="241"/>
      <c r="C180" s="239"/>
      <c r="D180" s="239"/>
      <c r="E180" s="258"/>
      <c r="F180" s="229"/>
      <c r="G180" s="229"/>
      <c r="H180" s="121"/>
      <c r="I180" s="109"/>
      <c r="J180" s="121"/>
      <c r="K180" s="109"/>
      <c r="L180" s="255"/>
      <c r="M180" s="116"/>
      <c r="N180" s="116"/>
      <c r="O180" s="116"/>
      <c r="P180" s="116"/>
      <c r="Q180" s="116"/>
      <c r="R180" s="229"/>
      <c r="S180" s="99">
        <v>1062800</v>
      </c>
      <c r="T180" s="227"/>
      <c r="U180" s="229"/>
      <c r="V180" s="231"/>
      <c r="W180" s="233"/>
      <c r="X180" s="235"/>
      <c r="Y180" s="223"/>
      <c r="Z180" s="214"/>
      <c r="AA180" s="215"/>
      <c r="AB180" s="52">
        <f>Z179-T179</f>
        <v>0</v>
      </c>
    </row>
    <row r="181" spans="2:28" hidden="1" x14ac:dyDescent="0.2">
      <c r="B181" s="248" t="str">
        <f>B64</f>
        <v>EQUIPO DE COMUNICACION</v>
      </c>
      <c r="C181" s="245" t="str">
        <f>C64</f>
        <v>280</v>
      </c>
      <c r="D181" s="271" t="str">
        <f>A64</f>
        <v>E-50103</v>
      </c>
      <c r="E181" s="257"/>
      <c r="F181" s="254"/>
      <c r="G181" s="254"/>
      <c r="H181" s="120"/>
      <c r="I181" s="114"/>
      <c r="J181" s="120"/>
      <c r="K181" s="114"/>
      <c r="L181" s="225"/>
      <c r="M181" s="117"/>
      <c r="N181" s="117"/>
      <c r="O181" s="117"/>
      <c r="P181" s="117"/>
      <c r="Q181" s="117"/>
      <c r="R181" s="243">
        <v>5722000</v>
      </c>
      <c r="S181" s="33"/>
      <c r="T181" s="274">
        <f t="shared" ref="T181" si="34">R181</f>
        <v>5722000</v>
      </c>
      <c r="U181" s="254"/>
      <c r="V181" s="230" t="s">
        <v>188</v>
      </c>
      <c r="W181" s="232"/>
      <c r="X181" s="234">
        <f>R181</f>
        <v>5722000</v>
      </c>
      <c r="Y181" s="222"/>
      <c r="Z181" s="212">
        <f>W181+X181+Y181</f>
        <v>5722000</v>
      </c>
      <c r="AA181" s="213"/>
      <c r="AB181" s="52"/>
    </row>
    <row r="182" spans="2:28" hidden="1" x14ac:dyDescent="0.2">
      <c r="B182" s="241" t="str">
        <f t="shared" ref="B182:B194" si="35">B65</f>
        <v>EQUIPO Y MOBILIARIO DE OFICINA</v>
      </c>
      <c r="C182" s="239"/>
      <c r="D182" s="272" t="str">
        <f>A65</f>
        <v>E-50104</v>
      </c>
      <c r="E182" s="258"/>
      <c r="F182" s="229"/>
      <c r="G182" s="229"/>
      <c r="H182" s="121"/>
      <c r="I182" s="109"/>
      <c r="J182" s="121"/>
      <c r="K182" s="109"/>
      <c r="L182" s="255"/>
      <c r="M182" s="116"/>
      <c r="N182" s="116"/>
      <c r="O182" s="116"/>
      <c r="P182" s="116"/>
      <c r="Q182" s="116"/>
      <c r="R182" s="244"/>
      <c r="S182" s="32"/>
      <c r="T182" s="227"/>
      <c r="U182" s="229"/>
      <c r="V182" s="231"/>
      <c r="W182" s="233"/>
      <c r="X182" s="235"/>
      <c r="Y182" s="223"/>
      <c r="Z182" s="214"/>
      <c r="AA182" s="215"/>
      <c r="AB182" s="52">
        <f>Z181-T181</f>
        <v>0</v>
      </c>
    </row>
    <row r="183" spans="2:28" ht="25.5" hidden="1" x14ac:dyDescent="0.2">
      <c r="B183" s="90" t="str">
        <f t="shared" si="35"/>
        <v>EQUIPO DE COMPUTO</v>
      </c>
      <c r="C183" s="90">
        <f>C66</f>
        <v>280</v>
      </c>
      <c r="D183" s="91" t="s">
        <v>189</v>
      </c>
      <c r="E183" s="83"/>
      <c r="F183" s="84"/>
      <c r="G183" s="84"/>
      <c r="H183" s="120"/>
      <c r="I183" s="114"/>
      <c r="J183" s="120"/>
      <c r="K183" s="114"/>
      <c r="L183" s="89"/>
      <c r="M183" s="117"/>
      <c r="N183" s="117"/>
      <c r="O183" s="117"/>
      <c r="P183" s="117"/>
      <c r="Q183" s="117"/>
      <c r="R183" s="97">
        <v>1500000</v>
      </c>
      <c r="S183" s="84"/>
      <c r="T183" s="82">
        <f>R183</f>
        <v>1500000</v>
      </c>
      <c r="U183" s="84"/>
      <c r="V183" s="88" t="s">
        <v>191</v>
      </c>
      <c r="W183" s="85"/>
      <c r="X183" s="86">
        <f>T183</f>
        <v>1500000</v>
      </c>
      <c r="Y183" s="87"/>
      <c r="Z183" s="298">
        <f>W183+X183+Y183</f>
        <v>1500000</v>
      </c>
      <c r="AA183" s="299"/>
      <c r="AB183" s="52"/>
    </row>
    <row r="184" spans="2:28" ht="12.75" hidden="1" customHeight="1" x14ac:dyDescent="0.2">
      <c r="B184" s="240" t="str">
        <f t="shared" si="35"/>
        <v>MAQUINARIA, EQUIPO Y MOBILIARIO DIVERSO</v>
      </c>
      <c r="C184" s="238" t="str">
        <f>C67</f>
        <v>280</v>
      </c>
      <c r="D184" s="238" t="str">
        <f>A67</f>
        <v>E-50199</v>
      </c>
      <c r="E184" s="283"/>
      <c r="F184" s="228"/>
      <c r="G184" s="228"/>
      <c r="H184" s="125"/>
      <c r="I184" s="108"/>
      <c r="J184" s="125"/>
      <c r="K184" s="108"/>
      <c r="L184" s="224"/>
      <c r="M184" s="115"/>
      <c r="N184" s="115"/>
      <c r="O184" s="115"/>
      <c r="P184" s="115"/>
      <c r="Q184" s="115"/>
      <c r="R184" s="228">
        <v>90000</v>
      </c>
      <c r="S184" s="33"/>
      <c r="T184" s="274">
        <f t="shared" ref="T184" si="36">R184</f>
        <v>90000</v>
      </c>
      <c r="U184" s="228"/>
      <c r="V184" s="230" t="s">
        <v>194</v>
      </c>
      <c r="W184" s="232"/>
      <c r="X184" s="234">
        <f>T184</f>
        <v>90000</v>
      </c>
      <c r="Y184" s="222"/>
      <c r="Z184" s="212">
        <f>W184+X184+Y184</f>
        <v>90000</v>
      </c>
      <c r="AA184" s="213"/>
      <c r="AB184" s="52"/>
    </row>
    <row r="185" spans="2:28" hidden="1" x14ac:dyDescent="0.2">
      <c r="B185" s="241" t="str">
        <f t="shared" si="35"/>
        <v>BIENES INTANGIBLES</v>
      </c>
      <c r="C185" s="239"/>
      <c r="D185" s="239" t="str">
        <f>A68</f>
        <v>E-59903</v>
      </c>
      <c r="E185" s="258"/>
      <c r="F185" s="229"/>
      <c r="G185" s="229"/>
      <c r="H185" s="121"/>
      <c r="I185" s="109"/>
      <c r="J185" s="121"/>
      <c r="K185" s="109"/>
      <c r="L185" s="255"/>
      <c r="M185" s="116"/>
      <c r="N185" s="116"/>
      <c r="O185" s="116"/>
      <c r="P185" s="116"/>
      <c r="Q185" s="116"/>
      <c r="R185" s="229"/>
      <c r="S185" s="32"/>
      <c r="T185" s="227"/>
      <c r="U185" s="229"/>
      <c r="V185" s="231"/>
      <c r="W185" s="233"/>
      <c r="X185" s="235"/>
      <c r="Y185" s="223"/>
      <c r="Z185" s="214"/>
      <c r="AA185" s="215"/>
      <c r="AB185" s="52">
        <f>Z184-T184</f>
        <v>0</v>
      </c>
    </row>
    <row r="186" spans="2:28" hidden="1" x14ac:dyDescent="0.2">
      <c r="B186" s="240" t="str">
        <f t="shared" si="35"/>
        <v>BIENES INTANGIBLES</v>
      </c>
      <c r="C186" s="238" t="str">
        <f>C69</f>
        <v>280</v>
      </c>
      <c r="D186" s="273" t="str">
        <f>A69</f>
        <v>E-59903</v>
      </c>
      <c r="E186" s="283"/>
      <c r="F186" s="228"/>
      <c r="G186" s="228"/>
      <c r="H186" s="125"/>
      <c r="I186" s="108"/>
      <c r="J186" s="125"/>
      <c r="K186" s="108"/>
      <c r="L186" s="224"/>
      <c r="M186" s="115"/>
      <c r="N186" s="115"/>
      <c r="O186" s="115"/>
      <c r="P186" s="115"/>
      <c r="Q186" s="115"/>
      <c r="R186" s="228"/>
      <c r="S186" s="33"/>
      <c r="T186" s="286">
        <v>39456968</v>
      </c>
      <c r="U186" s="228"/>
      <c r="V186" s="230" t="s">
        <v>210</v>
      </c>
      <c r="W186" s="277">
        <v>12135570</v>
      </c>
      <c r="X186" s="234">
        <v>11516888</v>
      </c>
      <c r="Y186" s="279">
        <v>15804510</v>
      </c>
      <c r="Z186" s="212">
        <f>W186+X186+Y186</f>
        <v>39456968</v>
      </c>
      <c r="AA186" s="213"/>
      <c r="AB186" s="52"/>
    </row>
    <row r="187" spans="2:28" hidden="1" x14ac:dyDescent="0.2">
      <c r="B187" s="241" t="str">
        <f t="shared" si="35"/>
        <v>PARTIDA 6</v>
      </c>
      <c r="C187" s="239"/>
      <c r="D187" s="272"/>
      <c r="E187" s="258"/>
      <c r="F187" s="229"/>
      <c r="G187" s="229"/>
      <c r="H187" s="121"/>
      <c r="I187" s="109"/>
      <c r="J187" s="121"/>
      <c r="K187" s="109"/>
      <c r="L187" s="255"/>
      <c r="M187" s="116"/>
      <c r="N187" s="116"/>
      <c r="O187" s="116"/>
      <c r="P187" s="116"/>
      <c r="Q187" s="116"/>
      <c r="R187" s="229"/>
      <c r="S187" s="32"/>
      <c r="T187" s="287"/>
      <c r="U187" s="229"/>
      <c r="V187" s="231"/>
      <c r="W187" s="278"/>
      <c r="X187" s="235"/>
      <c r="Y187" s="280"/>
      <c r="Z187" s="214"/>
      <c r="AA187" s="215"/>
      <c r="AB187" s="52">
        <f t="shared" ref="AB187:AB193" si="37">Z186-T186</f>
        <v>0</v>
      </c>
    </row>
    <row r="188" spans="2:28" ht="12.75" hidden="1" customHeight="1" x14ac:dyDescent="0.2">
      <c r="B188" s="248" t="str">
        <f t="shared" si="35"/>
        <v>CAJA COSTARRICENSE DE SEGURO SOCIAL. (CCSS) (CONTRIBUCION ESTATAL AL SEGURO DE PENSIONES, SEGUN LEY NO. 17 DEL 22 DE OCTUBRE DE 1943, LEY</v>
      </c>
      <c r="C188" s="245" t="str">
        <f>C71</f>
        <v>001</v>
      </c>
      <c r="D188" s="245" t="str">
        <f>A71</f>
        <v>E6010320081400</v>
      </c>
      <c r="E188" s="257"/>
      <c r="F188" s="254"/>
      <c r="G188" s="254"/>
      <c r="H188" s="120"/>
      <c r="I188" s="114"/>
      <c r="J188" s="120"/>
      <c r="K188" s="114"/>
      <c r="L188" s="225"/>
      <c r="M188" s="117"/>
      <c r="N188" s="117"/>
      <c r="O188" s="117"/>
      <c r="P188" s="117"/>
      <c r="Q188" s="117"/>
      <c r="R188" s="254"/>
      <c r="S188" s="33"/>
      <c r="T188" s="274">
        <f t="shared" ref="T188" si="38">R188</f>
        <v>0</v>
      </c>
      <c r="U188" s="254"/>
      <c r="V188" s="230"/>
      <c r="W188" s="232"/>
      <c r="X188" s="234"/>
      <c r="Y188" s="222"/>
      <c r="Z188" s="80"/>
      <c r="AA188" s="81"/>
      <c r="AB188" s="52">
        <f t="shared" si="37"/>
        <v>0</v>
      </c>
    </row>
    <row r="189" spans="2:28" ht="12.75" hidden="1" customHeight="1" x14ac:dyDescent="0.2">
      <c r="B189" s="248" t="str">
        <f t="shared" si="35"/>
        <v>CAJA COSTARRICENSE DE SEGURO SOCIAL. (CCSS) (CONTRIBUCION ESTATAL AL SEGURO DE SALUD, SEGUN LEY NO. 17 DEL 22 DE OCTUBRE DE 1943, LEY</v>
      </c>
      <c r="C189" s="245"/>
      <c r="D189" s="245" t="str">
        <f>A72</f>
        <v>E6010320281400</v>
      </c>
      <c r="E189" s="257"/>
      <c r="F189" s="254"/>
      <c r="G189" s="254"/>
      <c r="H189" s="120"/>
      <c r="I189" s="114"/>
      <c r="J189" s="120"/>
      <c r="K189" s="114"/>
      <c r="L189" s="225"/>
      <c r="M189" s="117"/>
      <c r="N189" s="117"/>
      <c r="O189" s="117"/>
      <c r="P189" s="117"/>
      <c r="Q189" s="117"/>
      <c r="R189" s="254"/>
      <c r="S189" s="33"/>
      <c r="T189" s="227"/>
      <c r="U189" s="254"/>
      <c r="V189" s="282"/>
      <c r="W189" s="233"/>
      <c r="X189" s="235"/>
      <c r="Y189" s="223"/>
      <c r="Z189" s="80"/>
      <c r="AA189" s="81"/>
      <c r="AB189" s="52">
        <f t="shared" si="37"/>
        <v>0</v>
      </c>
    </row>
    <row r="190" spans="2:28" ht="12.75" hidden="1" customHeight="1" x14ac:dyDescent="0.2">
      <c r="B190" s="248" t="str">
        <f t="shared" si="35"/>
        <v>PRESTACIONES LEGALES</v>
      </c>
      <c r="C190" s="245" t="str">
        <f>C73</f>
        <v>001</v>
      </c>
      <c r="D190" s="245" t="str">
        <f>A73</f>
        <v>E-60301</v>
      </c>
      <c r="E190" s="257"/>
      <c r="F190" s="254"/>
      <c r="G190" s="254"/>
      <c r="H190" s="120"/>
      <c r="I190" s="114"/>
      <c r="J190" s="120"/>
      <c r="K190" s="114"/>
      <c r="L190" s="225"/>
      <c r="M190" s="117"/>
      <c r="N190" s="117"/>
      <c r="O190" s="117"/>
      <c r="P190" s="117"/>
      <c r="Q190" s="117"/>
      <c r="R190" s="254"/>
      <c r="S190" s="33"/>
      <c r="T190" s="274">
        <f t="shared" ref="T190" si="39">R190</f>
        <v>0</v>
      </c>
      <c r="U190" s="254"/>
      <c r="V190" s="282"/>
      <c r="W190" s="232"/>
      <c r="X190" s="234"/>
      <c r="Y190" s="222"/>
      <c r="Z190" s="80"/>
      <c r="AA190" s="81"/>
      <c r="AB190" s="52">
        <f t="shared" si="37"/>
        <v>0</v>
      </c>
    </row>
    <row r="191" spans="2:28" ht="12.75" hidden="1" customHeight="1" x14ac:dyDescent="0.2">
      <c r="B191" s="248" t="str">
        <f t="shared" si="35"/>
        <v>OTRAS PRESTACIONES</v>
      </c>
      <c r="C191" s="245"/>
      <c r="D191" s="245" t="str">
        <f>A74</f>
        <v>E-60399</v>
      </c>
      <c r="E191" s="257"/>
      <c r="F191" s="254"/>
      <c r="G191" s="254"/>
      <c r="H191" s="120"/>
      <c r="I191" s="114"/>
      <c r="J191" s="120"/>
      <c r="K191" s="114"/>
      <c r="L191" s="225"/>
      <c r="M191" s="117"/>
      <c r="N191" s="117"/>
      <c r="O191" s="117"/>
      <c r="P191" s="117"/>
      <c r="Q191" s="117"/>
      <c r="R191" s="254"/>
      <c r="S191" s="33"/>
      <c r="T191" s="227"/>
      <c r="U191" s="254"/>
      <c r="V191" s="282"/>
      <c r="W191" s="233"/>
      <c r="X191" s="235"/>
      <c r="Y191" s="223"/>
      <c r="Z191" s="80"/>
      <c r="AA191" s="81"/>
      <c r="AB191" s="52">
        <f t="shared" si="37"/>
        <v>0</v>
      </c>
    </row>
    <row r="192" spans="2:28" ht="12.75" hidden="1" customHeight="1" x14ac:dyDescent="0.2">
      <c r="B192" s="248" t="str">
        <f t="shared" si="35"/>
        <v>INDEMNIZACIONES</v>
      </c>
      <c r="C192" s="245" t="str">
        <f>C75</f>
        <v>001</v>
      </c>
      <c r="D192" s="245" t="str">
        <f>A75</f>
        <v>E-60601</v>
      </c>
      <c r="E192" s="257"/>
      <c r="F192" s="254"/>
      <c r="G192" s="254"/>
      <c r="H192" s="120"/>
      <c r="I192" s="114"/>
      <c r="J192" s="120"/>
      <c r="K192" s="114"/>
      <c r="L192" s="225"/>
      <c r="M192" s="117"/>
      <c r="N192" s="117"/>
      <c r="O192" s="117"/>
      <c r="P192" s="117"/>
      <c r="Q192" s="117"/>
      <c r="R192" s="254"/>
      <c r="S192" s="33"/>
      <c r="T192" s="274">
        <f t="shared" ref="T192" si="40">R192</f>
        <v>0</v>
      </c>
      <c r="U192" s="254"/>
      <c r="V192" s="282"/>
      <c r="W192" s="232"/>
      <c r="X192" s="234"/>
      <c r="Y192" s="222"/>
      <c r="Z192" s="80"/>
      <c r="AA192" s="81"/>
      <c r="AB192" s="52">
        <f t="shared" si="37"/>
        <v>0</v>
      </c>
    </row>
    <row r="193" spans="2:28" ht="12.75" hidden="1" customHeight="1" x14ac:dyDescent="0.2">
      <c r="B193" s="248" t="str">
        <f t="shared" si="35"/>
        <v>PARTIDA 7</v>
      </c>
      <c r="C193" s="245"/>
      <c r="D193" s="245"/>
      <c r="E193" s="257"/>
      <c r="F193" s="254"/>
      <c r="G193" s="254"/>
      <c r="H193" s="120"/>
      <c r="I193" s="114"/>
      <c r="J193" s="120"/>
      <c r="K193" s="114"/>
      <c r="L193" s="225"/>
      <c r="M193" s="117"/>
      <c r="N193" s="117"/>
      <c r="O193" s="117"/>
      <c r="P193" s="117"/>
      <c r="Q193" s="117"/>
      <c r="R193" s="254"/>
      <c r="S193" s="33"/>
      <c r="T193" s="227"/>
      <c r="U193" s="254"/>
      <c r="V193" s="282"/>
      <c r="W193" s="233"/>
      <c r="X193" s="235"/>
      <c r="Y193" s="223"/>
      <c r="Z193" s="80"/>
      <c r="AA193" s="81"/>
      <c r="AB193" s="52">
        <f t="shared" si="37"/>
        <v>0</v>
      </c>
    </row>
    <row r="194" spans="2:28" hidden="1" x14ac:dyDescent="0.2">
      <c r="B194" s="248" t="str">
        <f t="shared" si="35"/>
        <v>FONDO NACIONAL DE FINANCIAMIENTO FORESTAL (FONAFIFO) (COMPRA DE CREDITOS DE CARBONO FORESTAL, EN CUMPLIMIENTO DE LA ESTRATEGIA</v>
      </c>
      <c r="C194" s="245" t="str">
        <f>C77</f>
        <v>280</v>
      </c>
      <c r="D194" s="245" t="str">
        <f>A77</f>
        <v>E7010220381400</v>
      </c>
      <c r="E194" s="257"/>
      <c r="F194" s="254"/>
      <c r="G194" s="254"/>
      <c r="H194" s="120"/>
      <c r="I194" s="114"/>
      <c r="J194" s="120"/>
      <c r="K194" s="114"/>
      <c r="L194" s="225"/>
      <c r="M194" s="117"/>
      <c r="N194" s="117"/>
      <c r="O194" s="117"/>
      <c r="P194" s="117"/>
      <c r="Q194" s="117"/>
      <c r="R194" s="254"/>
      <c r="S194" s="33"/>
      <c r="T194" s="274">
        <f t="shared" ref="T194" si="41">R194</f>
        <v>0</v>
      </c>
      <c r="U194" s="254"/>
      <c r="V194" s="282"/>
      <c r="W194" s="232"/>
      <c r="X194" s="234"/>
      <c r="Y194" s="222"/>
      <c r="Z194" s="212">
        <f>W194+X194+Y194</f>
        <v>0</v>
      </c>
      <c r="AA194" s="213"/>
      <c r="AB194" s="52"/>
    </row>
    <row r="195" spans="2:28" ht="13.5" hidden="1" thickBot="1" x14ac:dyDescent="0.25">
      <c r="B195" s="241" t="str">
        <f t="shared" ref="B195" si="42">B78</f>
        <v>BANCO HIPOTECARIO DE LA VIVIENDA (BANHVI). (PARA FINANCIAR PROGRAMAS PUBLICOS DIRIGIDOS A LA DOTACION DE VIVIENDA DIGNA, SEGUN LEY NO. 8683</v>
      </c>
      <c r="C195" s="239"/>
      <c r="D195" s="239" t="str">
        <f>A78</f>
        <v>E7010620081400</v>
      </c>
      <c r="E195" s="258"/>
      <c r="F195" s="229"/>
      <c r="G195" s="229"/>
      <c r="H195" s="121"/>
      <c r="I195" s="109"/>
      <c r="J195" s="121"/>
      <c r="K195" s="109"/>
      <c r="L195" s="255"/>
      <c r="M195" s="116"/>
      <c r="N195" s="116"/>
      <c r="O195" s="116"/>
      <c r="P195" s="116"/>
      <c r="Q195" s="116"/>
      <c r="R195" s="229"/>
      <c r="S195" s="32"/>
      <c r="T195" s="227"/>
      <c r="U195" s="229"/>
      <c r="V195" s="231"/>
      <c r="W195" s="285"/>
      <c r="X195" s="304"/>
      <c r="Y195" s="303"/>
      <c r="Z195" s="246"/>
      <c r="AA195" s="247"/>
      <c r="AB195" s="52">
        <f>Z194-T194</f>
        <v>0</v>
      </c>
    </row>
    <row r="196" spans="2:28" hidden="1" x14ac:dyDescent="0.2">
      <c r="Z196" s="302">
        <f>SUM(Z95:AA195)</f>
        <v>621994220</v>
      </c>
      <c r="AA196" s="302"/>
    </row>
    <row r="197" spans="2:28" x14ac:dyDescent="0.2">
      <c r="S197" s="52">
        <f>+R183+R181+S180+S174+R169+S168+R165+S164+S162+S160+S158+S150+S148+R145+S139+R136+S130+S123+S122+S119+R117+S115+S113+S111+S107+S103+S101+S97</f>
        <v>36091830</v>
      </c>
    </row>
    <row r="198" spans="2:28" x14ac:dyDescent="0.2">
      <c r="I198" s="18"/>
    </row>
    <row r="200" spans="2:28" x14ac:dyDescent="0.2">
      <c r="G200" s="52"/>
      <c r="H200" s="52"/>
      <c r="I200" s="52"/>
      <c r="J200" s="52"/>
      <c r="K200" s="52"/>
    </row>
    <row r="201" spans="2:28" x14ac:dyDescent="0.2">
      <c r="G201" s="52"/>
      <c r="H201" s="52"/>
      <c r="I201" s="52"/>
      <c r="J201" s="52"/>
      <c r="K201" s="52"/>
    </row>
    <row r="202" spans="2:28" x14ac:dyDescent="0.2">
      <c r="G202" s="52"/>
      <c r="H202" s="52"/>
      <c r="I202" s="52"/>
      <c r="J202" s="52"/>
      <c r="K202" s="52"/>
      <c r="S202" s="52"/>
    </row>
  </sheetData>
  <mergeCells count="767">
    <mergeCell ref="X105:X106"/>
    <mergeCell ref="W105:W106"/>
    <mergeCell ref="V105:V106"/>
    <mergeCell ref="W103:W104"/>
    <mergeCell ref="V103:V104"/>
    <mergeCell ref="Y109:Y110"/>
    <mergeCell ref="K59:N59"/>
    <mergeCell ref="W101:W102"/>
    <mergeCell ref="V101:V102"/>
    <mergeCell ref="Y99:Y100"/>
    <mergeCell ref="X99:X100"/>
    <mergeCell ref="W99:W100"/>
    <mergeCell ref="V99:V100"/>
    <mergeCell ref="Y97:Y98"/>
    <mergeCell ref="X97:X98"/>
    <mergeCell ref="W97:W98"/>
    <mergeCell ref="K74:N74"/>
    <mergeCell ref="Z196:AA196"/>
    <mergeCell ref="Y194:Y195"/>
    <mergeCell ref="V194:V195"/>
    <mergeCell ref="Y192:Y193"/>
    <mergeCell ref="Y190:Y191"/>
    <mergeCell ref="X190:X191"/>
    <mergeCell ref="W190:W191"/>
    <mergeCell ref="V190:V191"/>
    <mergeCell ref="W129:W131"/>
    <mergeCell ref="X194:X195"/>
    <mergeCell ref="V184:V185"/>
    <mergeCell ref="W184:W185"/>
    <mergeCell ref="X184:X185"/>
    <mergeCell ref="Y184:Y185"/>
    <mergeCell ref="Y179:Y180"/>
    <mergeCell ref="Y173:Y174"/>
    <mergeCell ref="X175:X176"/>
    <mergeCell ref="Y175:Y176"/>
    <mergeCell ref="Y169:Y170"/>
    <mergeCell ref="X171:X172"/>
    <mergeCell ref="Y171:Y172"/>
    <mergeCell ref="Y165:Y166"/>
    <mergeCell ref="X167:X168"/>
    <mergeCell ref="Y167:Y168"/>
    <mergeCell ref="O27:Q27"/>
    <mergeCell ref="O28:Q28"/>
    <mergeCell ref="O29:Q29"/>
    <mergeCell ref="Z183:AA183"/>
    <mergeCell ref="AC144:AC145"/>
    <mergeCell ref="AB101:AC102"/>
    <mergeCell ref="W93:AA93"/>
    <mergeCell ref="W121:W122"/>
    <mergeCell ref="Y121:Y122"/>
    <mergeCell ref="T101:T102"/>
    <mergeCell ref="S101:S102"/>
    <mergeCell ref="R93:R94"/>
    <mergeCell ref="T93:T94"/>
    <mergeCell ref="Y181:Y182"/>
    <mergeCell ref="V181:V182"/>
    <mergeCell ref="W181:W182"/>
    <mergeCell ref="X181:X182"/>
    <mergeCell ref="R181:R182"/>
    <mergeCell ref="Y177:Y178"/>
    <mergeCell ref="X179:X180"/>
    <mergeCell ref="W115:W116"/>
    <mergeCell ref="W111:W112"/>
    <mergeCell ref="V111:V112"/>
    <mergeCell ref="Y105:Y106"/>
    <mergeCell ref="B117:B118"/>
    <mergeCell ref="V117:V118"/>
    <mergeCell ref="AD86:AD87"/>
    <mergeCell ref="Z121:AA122"/>
    <mergeCell ref="U93:U94"/>
    <mergeCell ref="V93:V94"/>
    <mergeCell ref="B97:B98"/>
    <mergeCell ref="C97:C98"/>
    <mergeCell ref="D97:D98"/>
    <mergeCell ref="T95:T96"/>
    <mergeCell ref="E99:E100"/>
    <mergeCell ref="F99:F100"/>
    <mergeCell ref="G99:G100"/>
    <mergeCell ref="L99:L100"/>
    <mergeCell ref="R99:R100"/>
    <mergeCell ref="T99:T100"/>
    <mergeCell ref="B99:B100"/>
    <mergeCell ref="S95:S96"/>
    <mergeCell ref="B101:B102"/>
    <mergeCell ref="U101:U102"/>
    <mergeCell ref="F101:F102"/>
    <mergeCell ref="G101:G102"/>
    <mergeCell ref="L101:L102"/>
    <mergeCell ref="R101:R102"/>
    <mergeCell ref="E119:E120"/>
    <mergeCell ref="L184:L185"/>
    <mergeCell ref="R184:R185"/>
    <mergeCell ref="T184:T185"/>
    <mergeCell ref="U184:U185"/>
    <mergeCell ref="T181:T182"/>
    <mergeCell ref="U181:U182"/>
    <mergeCell ref="E181:E182"/>
    <mergeCell ref="F181:F182"/>
    <mergeCell ref="G181:G182"/>
    <mergeCell ref="L181:L182"/>
    <mergeCell ref="U105:U106"/>
    <mergeCell ref="F105:F106"/>
    <mergeCell ref="G105:G106"/>
    <mergeCell ref="L105:L106"/>
    <mergeCell ref="R105:R106"/>
    <mergeCell ref="T105:T106"/>
    <mergeCell ref="E105:E106"/>
    <mergeCell ref="E109:E110"/>
    <mergeCell ref="E111:E112"/>
    <mergeCell ref="D107:D108"/>
    <mergeCell ref="D117:D118"/>
    <mergeCell ref="U115:U116"/>
    <mergeCell ref="U111:U112"/>
    <mergeCell ref="E127:E128"/>
    <mergeCell ref="U103:U104"/>
    <mergeCell ref="E190:E191"/>
    <mergeCell ref="F190:F191"/>
    <mergeCell ref="G190:G191"/>
    <mergeCell ref="L190:L191"/>
    <mergeCell ref="R190:R191"/>
    <mergeCell ref="E188:E189"/>
    <mergeCell ref="F188:F189"/>
    <mergeCell ref="G188:G189"/>
    <mergeCell ref="L188:L189"/>
    <mergeCell ref="R188:R189"/>
    <mergeCell ref="E186:E187"/>
    <mergeCell ref="F186:F187"/>
    <mergeCell ref="G186:G187"/>
    <mergeCell ref="L186:L187"/>
    <mergeCell ref="R186:R187"/>
    <mergeCell ref="E184:E185"/>
    <mergeCell ref="F184:F185"/>
    <mergeCell ref="G184:G185"/>
    <mergeCell ref="C99:C100"/>
    <mergeCell ref="D99:D100"/>
    <mergeCell ref="U95:U96"/>
    <mergeCell ref="U99:U100"/>
    <mergeCell ref="S99:S100"/>
    <mergeCell ref="X103:X104"/>
    <mergeCell ref="Y103:Y104"/>
    <mergeCell ref="F103:F104"/>
    <mergeCell ref="G103:G104"/>
    <mergeCell ref="L103:L104"/>
    <mergeCell ref="R103:R104"/>
    <mergeCell ref="T103:T104"/>
    <mergeCell ref="E103:E104"/>
    <mergeCell ref="D103:D104"/>
    <mergeCell ref="C101:C102"/>
    <mergeCell ref="D101:D102"/>
    <mergeCell ref="E101:E102"/>
    <mergeCell ref="Y101:Y102"/>
    <mergeCell ref="X101:X102"/>
    <mergeCell ref="Y95:Y96"/>
    <mergeCell ref="X95:X96"/>
    <mergeCell ref="W95:W96"/>
    <mergeCell ref="E194:E195"/>
    <mergeCell ref="F194:F195"/>
    <mergeCell ref="G194:G195"/>
    <mergeCell ref="L194:L195"/>
    <mergeCell ref="R194:R195"/>
    <mergeCell ref="E192:E193"/>
    <mergeCell ref="F192:F193"/>
    <mergeCell ref="G192:G193"/>
    <mergeCell ref="L192:L193"/>
    <mergeCell ref="R192:R193"/>
    <mergeCell ref="T192:T193"/>
    <mergeCell ref="U192:U193"/>
    <mergeCell ref="V192:V193"/>
    <mergeCell ref="W192:W193"/>
    <mergeCell ref="X192:X193"/>
    <mergeCell ref="W194:W195"/>
    <mergeCell ref="T194:T195"/>
    <mergeCell ref="U194:U195"/>
    <mergeCell ref="Y186:Y187"/>
    <mergeCell ref="T188:T189"/>
    <mergeCell ref="U188:U189"/>
    <mergeCell ref="V188:V189"/>
    <mergeCell ref="W188:W189"/>
    <mergeCell ref="X188:X189"/>
    <mergeCell ref="Y188:Y189"/>
    <mergeCell ref="T186:T187"/>
    <mergeCell ref="U186:U187"/>
    <mergeCell ref="V186:V187"/>
    <mergeCell ref="W186:W187"/>
    <mergeCell ref="X186:X187"/>
    <mergeCell ref="T190:T191"/>
    <mergeCell ref="U190:U191"/>
    <mergeCell ref="E179:E180"/>
    <mergeCell ref="F179:F180"/>
    <mergeCell ref="G179:G180"/>
    <mergeCell ref="L179:L180"/>
    <mergeCell ref="R179:R180"/>
    <mergeCell ref="T179:T180"/>
    <mergeCell ref="U179:U180"/>
    <mergeCell ref="V179:V180"/>
    <mergeCell ref="W179:W180"/>
    <mergeCell ref="T177:T178"/>
    <mergeCell ref="U177:U178"/>
    <mergeCell ref="V177:V178"/>
    <mergeCell ref="W177:W178"/>
    <mergeCell ref="X177:X178"/>
    <mergeCell ref="E177:E178"/>
    <mergeCell ref="F177:F178"/>
    <mergeCell ref="G177:G178"/>
    <mergeCell ref="L177:L178"/>
    <mergeCell ref="R177:R178"/>
    <mergeCell ref="E175:E176"/>
    <mergeCell ref="F175:F176"/>
    <mergeCell ref="G175:G176"/>
    <mergeCell ref="L175:L176"/>
    <mergeCell ref="R175:R176"/>
    <mergeCell ref="T175:T176"/>
    <mergeCell ref="U175:U176"/>
    <mergeCell ref="V175:V176"/>
    <mergeCell ref="W175:W176"/>
    <mergeCell ref="T173:T174"/>
    <mergeCell ref="U173:U174"/>
    <mergeCell ref="V173:V174"/>
    <mergeCell ref="W173:W174"/>
    <mergeCell ref="X173:X174"/>
    <mergeCell ref="E173:E174"/>
    <mergeCell ref="F173:F174"/>
    <mergeCell ref="G173:G174"/>
    <mergeCell ref="L173:L174"/>
    <mergeCell ref="R173:R174"/>
    <mergeCell ref="E171:E172"/>
    <mergeCell ref="F171:F172"/>
    <mergeCell ref="G171:G172"/>
    <mergeCell ref="L171:L172"/>
    <mergeCell ref="R171:R172"/>
    <mergeCell ref="T171:T172"/>
    <mergeCell ref="U171:U172"/>
    <mergeCell ref="V171:V172"/>
    <mergeCell ref="W171:W172"/>
    <mergeCell ref="T169:T170"/>
    <mergeCell ref="U169:U170"/>
    <mergeCell ref="V169:V170"/>
    <mergeCell ref="W169:W170"/>
    <mergeCell ref="X169:X170"/>
    <mergeCell ref="E169:E170"/>
    <mergeCell ref="F169:F170"/>
    <mergeCell ref="G169:G170"/>
    <mergeCell ref="L169:L170"/>
    <mergeCell ref="R169:R170"/>
    <mergeCell ref="E167:E168"/>
    <mergeCell ref="F167:F168"/>
    <mergeCell ref="G167:G168"/>
    <mergeCell ref="L167:L168"/>
    <mergeCell ref="R167:R168"/>
    <mergeCell ref="T167:T168"/>
    <mergeCell ref="U167:U168"/>
    <mergeCell ref="V167:V168"/>
    <mergeCell ref="W167:W168"/>
    <mergeCell ref="T165:T166"/>
    <mergeCell ref="U165:U166"/>
    <mergeCell ref="V165:V166"/>
    <mergeCell ref="W165:W166"/>
    <mergeCell ref="X165:X166"/>
    <mergeCell ref="E165:E166"/>
    <mergeCell ref="F165:F166"/>
    <mergeCell ref="G165:G166"/>
    <mergeCell ref="L165:L166"/>
    <mergeCell ref="R165:R166"/>
    <mergeCell ref="Y161:Y162"/>
    <mergeCell ref="E163:E164"/>
    <mergeCell ref="F163:F164"/>
    <mergeCell ref="G163:G164"/>
    <mergeCell ref="L163:L164"/>
    <mergeCell ref="R163:R164"/>
    <mergeCell ref="T163:T164"/>
    <mergeCell ref="U163:U164"/>
    <mergeCell ref="V163:V164"/>
    <mergeCell ref="W163:W164"/>
    <mergeCell ref="X163:X164"/>
    <mergeCell ref="Y163:Y164"/>
    <mergeCell ref="T161:T162"/>
    <mergeCell ref="U161:U162"/>
    <mergeCell ref="V161:V162"/>
    <mergeCell ref="W161:W162"/>
    <mergeCell ref="X161:X162"/>
    <mergeCell ref="E161:E162"/>
    <mergeCell ref="F161:F162"/>
    <mergeCell ref="G161:G162"/>
    <mergeCell ref="L161:L162"/>
    <mergeCell ref="R161:R162"/>
    <mergeCell ref="Y157:Y158"/>
    <mergeCell ref="E159:E160"/>
    <mergeCell ref="F159:F160"/>
    <mergeCell ref="G159:G160"/>
    <mergeCell ref="L159:L160"/>
    <mergeCell ref="R159:R160"/>
    <mergeCell ref="T159:T160"/>
    <mergeCell ref="U159:U160"/>
    <mergeCell ref="V159:V160"/>
    <mergeCell ref="W159:W160"/>
    <mergeCell ref="X159:X160"/>
    <mergeCell ref="Y159:Y160"/>
    <mergeCell ref="T157:T158"/>
    <mergeCell ref="U157:U158"/>
    <mergeCell ref="V157:V158"/>
    <mergeCell ref="W157:W158"/>
    <mergeCell ref="X157:X158"/>
    <mergeCell ref="E157:E158"/>
    <mergeCell ref="F157:F158"/>
    <mergeCell ref="G157:G158"/>
    <mergeCell ref="L157:L158"/>
    <mergeCell ref="R157:R158"/>
    <mergeCell ref="Y153:Y154"/>
    <mergeCell ref="E155:E156"/>
    <mergeCell ref="F155:F156"/>
    <mergeCell ref="G155:G156"/>
    <mergeCell ref="L155:L156"/>
    <mergeCell ref="R155:R156"/>
    <mergeCell ref="T155:T156"/>
    <mergeCell ref="U155:U156"/>
    <mergeCell ref="V155:V156"/>
    <mergeCell ref="W155:W156"/>
    <mergeCell ref="X155:X156"/>
    <mergeCell ref="Y155:Y156"/>
    <mergeCell ref="T153:T154"/>
    <mergeCell ref="U153:U154"/>
    <mergeCell ref="V153:V154"/>
    <mergeCell ref="W153:W154"/>
    <mergeCell ref="X153:X154"/>
    <mergeCell ref="E153:E154"/>
    <mergeCell ref="F153:F154"/>
    <mergeCell ref="G153:G154"/>
    <mergeCell ref="L153:L154"/>
    <mergeCell ref="R153:R154"/>
    <mergeCell ref="Y149:Y150"/>
    <mergeCell ref="E151:E152"/>
    <mergeCell ref="F151:F152"/>
    <mergeCell ref="G151:G152"/>
    <mergeCell ref="L151:L152"/>
    <mergeCell ref="R151:R152"/>
    <mergeCell ref="T151:T152"/>
    <mergeCell ref="U151:U152"/>
    <mergeCell ref="V151:V152"/>
    <mergeCell ref="W151:W152"/>
    <mergeCell ref="X151:X152"/>
    <mergeCell ref="Y151:Y152"/>
    <mergeCell ref="T149:T150"/>
    <mergeCell ref="U149:U150"/>
    <mergeCell ref="V149:V150"/>
    <mergeCell ref="W149:W150"/>
    <mergeCell ref="X149:X150"/>
    <mergeCell ref="E149:E150"/>
    <mergeCell ref="F149:F150"/>
    <mergeCell ref="G149:G150"/>
    <mergeCell ref="L149:L150"/>
    <mergeCell ref="R149:R150"/>
    <mergeCell ref="Y144:Y146"/>
    <mergeCell ref="E147:E148"/>
    <mergeCell ref="F147:F148"/>
    <mergeCell ref="G147:G148"/>
    <mergeCell ref="L147:L148"/>
    <mergeCell ref="R147:R148"/>
    <mergeCell ref="T147:T148"/>
    <mergeCell ref="U147:U148"/>
    <mergeCell ref="V147:V148"/>
    <mergeCell ref="W147:W148"/>
    <mergeCell ref="X147:X148"/>
    <mergeCell ref="Y147:Y148"/>
    <mergeCell ref="T144:T146"/>
    <mergeCell ref="U144:U146"/>
    <mergeCell ref="W144:W146"/>
    <mergeCell ref="X144:X146"/>
    <mergeCell ref="F144:F146"/>
    <mergeCell ref="L136:L137"/>
    <mergeCell ref="R136:R137"/>
    <mergeCell ref="Y140:Y141"/>
    <mergeCell ref="E142:E143"/>
    <mergeCell ref="F142:F143"/>
    <mergeCell ref="G142:G143"/>
    <mergeCell ref="L142:L143"/>
    <mergeCell ref="R142:R143"/>
    <mergeCell ref="T142:T143"/>
    <mergeCell ref="U142:U143"/>
    <mergeCell ref="V142:V143"/>
    <mergeCell ref="W142:W143"/>
    <mergeCell ref="X142:X143"/>
    <mergeCell ref="Y142:Y143"/>
    <mergeCell ref="T140:T141"/>
    <mergeCell ref="U140:U141"/>
    <mergeCell ref="V140:V141"/>
    <mergeCell ref="W140:W141"/>
    <mergeCell ref="X140:X141"/>
    <mergeCell ref="E140:E141"/>
    <mergeCell ref="F140:F141"/>
    <mergeCell ref="G140:G141"/>
    <mergeCell ref="L140:L141"/>
    <mergeCell ref="R140:R141"/>
    <mergeCell ref="F132:F133"/>
    <mergeCell ref="G132:G133"/>
    <mergeCell ref="L132:L133"/>
    <mergeCell ref="R132:R133"/>
    <mergeCell ref="Y136:Y137"/>
    <mergeCell ref="E138:E139"/>
    <mergeCell ref="F138:F139"/>
    <mergeCell ref="G138:G139"/>
    <mergeCell ref="L138:L139"/>
    <mergeCell ref="R138:R139"/>
    <mergeCell ref="T138:T139"/>
    <mergeCell ref="U138:U139"/>
    <mergeCell ref="V138:V139"/>
    <mergeCell ref="W138:W139"/>
    <mergeCell ref="X138:X139"/>
    <mergeCell ref="Y138:Y139"/>
    <mergeCell ref="T136:T137"/>
    <mergeCell ref="U136:U137"/>
    <mergeCell ref="V136:V137"/>
    <mergeCell ref="W136:W137"/>
    <mergeCell ref="X136:X137"/>
    <mergeCell ref="E136:E137"/>
    <mergeCell ref="F136:F137"/>
    <mergeCell ref="G136:G137"/>
    <mergeCell ref="F119:F120"/>
    <mergeCell ref="G119:G120"/>
    <mergeCell ref="L119:L120"/>
    <mergeCell ref="R119:R120"/>
    <mergeCell ref="T119:T120"/>
    <mergeCell ref="W123:W126"/>
    <mergeCell ref="Y132:Y133"/>
    <mergeCell ref="E134:E135"/>
    <mergeCell ref="F134:F135"/>
    <mergeCell ref="G134:G135"/>
    <mergeCell ref="L134:L135"/>
    <mergeCell ref="R134:R135"/>
    <mergeCell ref="T134:T135"/>
    <mergeCell ref="U134:U135"/>
    <mergeCell ref="V134:V135"/>
    <mergeCell ref="W134:W135"/>
    <mergeCell ref="X134:X135"/>
    <mergeCell ref="Y134:Y135"/>
    <mergeCell ref="T132:T133"/>
    <mergeCell ref="U132:U133"/>
    <mergeCell ref="V132:V133"/>
    <mergeCell ref="W132:W133"/>
    <mergeCell ref="X132:X133"/>
    <mergeCell ref="E132:E133"/>
    <mergeCell ref="X129:X131"/>
    <mergeCell ref="Y129:Y131"/>
    <mergeCell ref="F129:F131"/>
    <mergeCell ref="T129:T131"/>
    <mergeCell ref="U127:U128"/>
    <mergeCell ref="V127:V128"/>
    <mergeCell ref="W127:W128"/>
    <mergeCell ref="X127:X128"/>
    <mergeCell ref="Y127:Y128"/>
    <mergeCell ref="F127:F128"/>
    <mergeCell ref="G127:G128"/>
    <mergeCell ref="L127:L128"/>
    <mergeCell ref="R127:R128"/>
    <mergeCell ref="T127:T128"/>
    <mergeCell ref="U129:U131"/>
    <mergeCell ref="F109:F110"/>
    <mergeCell ref="G109:G110"/>
    <mergeCell ref="L109:L110"/>
    <mergeCell ref="R109:R110"/>
    <mergeCell ref="T109:T110"/>
    <mergeCell ref="W107:W108"/>
    <mergeCell ref="X107:X108"/>
    <mergeCell ref="X115:X116"/>
    <mergeCell ref="Y115:Y116"/>
    <mergeCell ref="F115:F116"/>
    <mergeCell ref="G115:G116"/>
    <mergeCell ref="L115:L116"/>
    <mergeCell ref="R115:R116"/>
    <mergeCell ref="T115:T116"/>
    <mergeCell ref="U113:U114"/>
    <mergeCell ref="V113:V114"/>
    <mergeCell ref="W113:W114"/>
    <mergeCell ref="X113:X114"/>
    <mergeCell ref="Y113:Y114"/>
    <mergeCell ref="F113:F114"/>
    <mergeCell ref="G113:G114"/>
    <mergeCell ref="L113:L114"/>
    <mergeCell ref="R113:R114"/>
    <mergeCell ref="X123:X126"/>
    <mergeCell ref="Y123:Y126"/>
    <mergeCell ref="T123:T126"/>
    <mergeCell ref="U117:U118"/>
    <mergeCell ref="W117:W118"/>
    <mergeCell ref="X117:X118"/>
    <mergeCell ref="Y117:Y118"/>
    <mergeCell ref="T117:T118"/>
    <mergeCell ref="U119:U120"/>
    <mergeCell ref="V119:V120"/>
    <mergeCell ref="W119:W120"/>
    <mergeCell ref="X119:X120"/>
    <mergeCell ref="Y119:Y120"/>
    <mergeCell ref="D111:D112"/>
    <mergeCell ref="D115:D116"/>
    <mergeCell ref="X111:X112"/>
    <mergeCell ref="Y111:Y112"/>
    <mergeCell ref="F111:F112"/>
    <mergeCell ref="G111:G112"/>
    <mergeCell ref="L111:L112"/>
    <mergeCell ref="R111:R112"/>
    <mergeCell ref="T111:T112"/>
    <mergeCell ref="T113:T114"/>
    <mergeCell ref="E113:E114"/>
    <mergeCell ref="E115:E116"/>
    <mergeCell ref="D186:D187"/>
    <mergeCell ref="D188:D189"/>
    <mergeCell ref="D190:D191"/>
    <mergeCell ref="D140:D141"/>
    <mergeCell ref="D123:D126"/>
    <mergeCell ref="D132:D133"/>
    <mergeCell ref="D134:D135"/>
    <mergeCell ref="D105:D106"/>
    <mergeCell ref="B109:B110"/>
    <mergeCell ref="C109:C110"/>
    <mergeCell ref="D109:D110"/>
    <mergeCell ref="B119:B120"/>
    <mergeCell ref="B123:B126"/>
    <mergeCell ref="D147:D148"/>
    <mergeCell ref="B151:B152"/>
    <mergeCell ref="C151:C152"/>
    <mergeCell ref="D151:D152"/>
    <mergeCell ref="D113:D114"/>
    <mergeCell ref="B132:B133"/>
    <mergeCell ref="B134:B135"/>
    <mergeCell ref="B136:B137"/>
    <mergeCell ref="B129:B131"/>
    <mergeCell ref="D129:D131"/>
    <mergeCell ref="D138:D139"/>
    <mergeCell ref="B192:B193"/>
    <mergeCell ref="B194:B195"/>
    <mergeCell ref="B177:B178"/>
    <mergeCell ref="C190:C191"/>
    <mergeCell ref="C147:C148"/>
    <mergeCell ref="C119:C120"/>
    <mergeCell ref="C123:C126"/>
    <mergeCell ref="C132:C133"/>
    <mergeCell ref="C134:C135"/>
    <mergeCell ref="C136:C137"/>
    <mergeCell ref="C129:C131"/>
    <mergeCell ref="B184:B185"/>
    <mergeCell ref="B186:B187"/>
    <mergeCell ref="B138:B139"/>
    <mergeCell ref="C138:C139"/>
    <mergeCell ref="B181:B182"/>
    <mergeCell ref="C165:C166"/>
    <mergeCell ref="C169:C170"/>
    <mergeCell ref="C173:C174"/>
    <mergeCell ref="B188:B189"/>
    <mergeCell ref="B142:B143"/>
    <mergeCell ref="C142:C143"/>
    <mergeCell ref="C105:C106"/>
    <mergeCell ref="C113:C114"/>
    <mergeCell ref="C117:C118"/>
    <mergeCell ref="C161:C162"/>
    <mergeCell ref="C192:C193"/>
    <mergeCell ref="C194:C195"/>
    <mergeCell ref="B157:B158"/>
    <mergeCell ref="C157:C158"/>
    <mergeCell ref="B161:B162"/>
    <mergeCell ref="B165:B166"/>
    <mergeCell ref="B169:B170"/>
    <mergeCell ref="B173:B174"/>
    <mergeCell ref="B179:B180"/>
    <mergeCell ref="C177:C178"/>
    <mergeCell ref="C181:C182"/>
    <mergeCell ref="C184:C185"/>
    <mergeCell ref="C186:C187"/>
    <mergeCell ref="C188:C189"/>
    <mergeCell ref="C159:C160"/>
    <mergeCell ref="C163:C164"/>
    <mergeCell ref="C167:C168"/>
    <mergeCell ref="C171:C172"/>
    <mergeCell ref="C175:C176"/>
    <mergeCell ref="B190:B191"/>
    <mergeCell ref="C179:C180"/>
    <mergeCell ref="D136:D137"/>
    <mergeCell ref="D119:D120"/>
    <mergeCell ref="B127:B128"/>
    <mergeCell ref="C127:C128"/>
    <mergeCell ref="D127:D128"/>
    <mergeCell ref="C153:C154"/>
    <mergeCell ref="C155:C156"/>
    <mergeCell ref="D144:D146"/>
    <mergeCell ref="D149:D150"/>
    <mergeCell ref="C140:C141"/>
    <mergeCell ref="C144:C146"/>
    <mergeCell ref="C149:C150"/>
    <mergeCell ref="D142:D143"/>
    <mergeCell ref="D184:D185"/>
    <mergeCell ref="D153:D154"/>
    <mergeCell ref="D155:D156"/>
    <mergeCell ref="D159:D160"/>
    <mergeCell ref="D163:D164"/>
    <mergeCell ref="D167:D168"/>
    <mergeCell ref="D157:D158"/>
    <mergeCell ref="D161:D162"/>
    <mergeCell ref="D165:D166"/>
    <mergeCell ref="D169:D170"/>
    <mergeCell ref="D173:D174"/>
    <mergeCell ref="D179:D180"/>
    <mergeCell ref="D175:D176"/>
    <mergeCell ref="D177:D178"/>
    <mergeCell ref="D181:D182"/>
    <mergeCell ref="R2:V2"/>
    <mergeCell ref="A1:G1"/>
    <mergeCell ref="A93:A94"/>
    <mergeCell ref="T97:T98"/>
    <mergeCell ref="G95:G96"/>
    <mergeCell ref="L95:L96"/>
    <mergeCell ref="R95:R96"/>
    <mergeCell ref="V95:V96"/>
    <mergeCell ref="B95:B96"/>
    <mergeCell ref="D95:D96"/>
    <mergeCell ref="C95:C96"/>
    <mergeCell ref="E95:E96"/>
    <mergeCell ref="F95:F96"/>
    <mergeCell ref="A95:A96"/>
    <mergeCell ref="S93:S94"/>
    <mergeCell ref="B93:B94"/>
    <mergeCell ref="C93:C94"/>
    <mergeCell ref="D93:D94"/>
    <mergeCell ref="E93:E94"/>
    <mergeCell ref="F93:F94"/>
    <mergeCell ref="G93:G94"/>
    <mergeCell ref="L93:L94"/>
    <mergeCell ref="K17:N17"/>
    <mergeCell ref="G62:I62"/>
    <mergeCell ref="Z194:AA195"/>
    <mergeCell ref="Z186:AA187"/>
    <mergeCell ref="Z184:AA185"/>
    <mergeCell ref="Z181:AA182"/>
    <mergeCell ref="B103:B104"/>
    <mergeCell ref="B107:B108"/>
    <mergeCell ref="B111:B112"/>
    <mergeCell ref="B115:B116"/>
    <mergeCell ref="B105:B106"/>
    <mergeCell ref="B113:B114"/>
    <mergeCell ref="B159:B160"/>
    <mergeCell ref="B163:B164"/>
    <mergeCell ref="B167:B168"/>
    <mergeCell ref="B171:B172"/>
    <mergeCell ref="B175:B176"/>
    <mergeCell ref="B140:B141"/>
    <mergeCell ref="B144:B146"/>
    <mergeCell ref="B149:B150"/>
    <mergeCell ref="B153:B154"/>
    <mergeCell ref="B155:B156"/>
    <mergeCell ref="B147:B148"/>
    <mergeCell ref="D192:D193"/>
    <mergeCell ref="D194:D195"/>
    <mergeCell ref="D171:D172"/>
    <mergeCell ref="Z179:AA180"/>
    <mergeCell ref="Z175:AA176"/>
    <mergeCell ref="Z173:AA174"/>
    <mergeCell ref="Z171:AA172"/>
    <mergeCell ref="Z169:AA170"/>
    <mergeCell ref="Z167:AA168"/>
    <mergeCell ref="Z165:AA166"/>
    <mergeCell ref="Z163:AA164"/>
    <mergeCell ref="Z161:AA162"/>
    <mergeCell ref="Z159:AA160"/>
    <mergeCell ref="Z157:AA158"/>
    <mergeCell ref="Z155:AA156"/>
    <mergeCell ref="Z153:AA154"/>
    <mergeCell ref="Z151:AA152"/>
    <mergeCell ref="Z149:AA150"/>
    <mergeCell ref="Z147:AA148"/>
    <mergeCell ref="Z144:AA146"/>
    <mergeCell ref="Z142:AA143"/>
    <mergeCell ref="AB117:AD118"/>
    <mergeCell ref="D121:D122"/>
    <mergeCell ref="C121:C122"/>
    <mergeCell ref="B121:B122"/>
    <mergeCell ref="S123:S126"/>
    <mergeCell ref="AB99:AC100"/>
    <mergeCell ref="T121:T122"/>
    <mergeCell ref="X121:X122"/>
    <mergeCell ref="Z111:AA112"/>
    <mergeCell ref="Z113:AA114"/>
    <mergeCell ref="Z115:AA116"/>
    <mergeCell ref="Z117:AA118"/>
    <mergeCell ref="Z119:AA120"/>
    <mergeCell ref="Z123:AA126"/>
    <mergeCell ref="C103:C104"/>
    <mergeCell ref="C107:C108"/>
    <mergeCell ref="C111:C112"/>
    <mergeCell ref="C115:C116"/>
    <mergeCell ref="Z99:AA100"/>
    <mergeCell ref="Z101:AA102"/>
    <mergeCell ref="Z103:AA104"/>
    <mergeCell ref="Z105:AA106"/>
    <mergeCell ref="Z107:AA108"/>
    <mergeCell ref="Z109:AA110"/>
    <mergeCell ref="G48:I48"/>
    <mergeCell ref="G70:I70"/>
    <mergeCell ref="G82:H82"/>
    <mergeCell ref="G76:I76"/>
    <mergeCell ref="G83:H83"/>
    <mergeCell ref="G84:H84"/>
    <mergeCell ref="G85:H85"/>
    <mergeCell ref="G86:H86"/>
    <mergeCell ref="Z140:AA141"/>
    <mergeCell ref="Z138:AA139"/>
    <mergeCell ref="Z127:AA128"/>
    <mergeCell ref="Z129:AA131"/>
    <mergeCell ref="Z132:AA133"/>
    <mergeCell ref="Z136:AA137"/>
    <mergeCell ref="Z94:AA94"/>
    <mergeCell ref="Z95:AA96"/>
    <mergeCell ref="Z97:AA98"/>
    <mergeCell ref="Y107:Y108"/>
    <mergeCell ref="L107:L108"/>
    <mergeCell ref="T107:T108"/>
    <mergeCell ref="U109:U110"/>
    <mergeCell ref="V109:V110"/>
    <mergeCell ref="W109:W110"/>
    <mergeCell ref="X109:X110"/>
    <mergeCell ref="O30:Q30"/>
    <mergeCell ref="O31:Q31"/>
    <mergeCell ref="K32:N32"/>
    <mergeCell ref="O32:Q32"/>
    <mergeCell ref="K33:N33"/>
    <mergeCell ref="O33:Q33"/>
    <mergeCell ref="O34:Q34"/>
    <mergeCell ref="A16:N16"/>
    <mergeCell ref="K40:N40"/>
    <mergeCell ref="O40:Q40"/>
    <mergeCell ref="K18:N18"/>
    <mergeCell ref="O20:Q20"/>
    <mergeCell ref="K21:N21"/>
    <mergeCell ref="O21:Q21"/>
    <mergeCell ref="K22:N22"/>
    <mergeCell ref="O22:Q22"/>
    <mergeCell ref="K23:N23"/>
    <mergeCell ref="O23:Q23"/>
    <mergeCell ref="O24:Q24"/>
    <mergeCell ref="K20:N20"/>
    <mergeCell ref="K25:N25"/>
    <mergeCell ref="O25:Q25"/>
    <mergeCell ref="O26:Q26"/>
    <mergeCell ref="K27:N27"/>
    <mergeCell ref="O41:Q41"/>
    <mergeCell ref="O42:Q42"/>
    <mergeCell ref="K43:N43"/>
    <mergeCell ref="O43:Q43"/>
    <mergeCell ref="O44:Q44"/>
    <mergeCell ref="K35:N35"/>
    <mergeCell ref="O35:Q35"/>
    <mergeCell ref="O36:Q36"/>
    <mergeCell ref="O37:Q37"/>
    <mergeCell ref="K38:N38"/>
    <mergeCell ref="O38:Q38"/>
    <mergeCell ref="O39:Q39"/>
    <mergeCell ref="K56:N56"/>
    <mergeCell ref="K57:N57"/>
    <mergeCell ref="K58:N58"/>
    <mergeCell ref="O45:Q45"/>
    <mergeCell ref="O46:Q46"/>
    <mergeCell ref="K47:N47"/>
    <mergeCell ref="O47:Q47"/>
    <mergeCell ref="K69:N69"/>
    <mergeCell ref="K73:N73"/>
    <mergeCell ref="K49:N49"/>
    <mergeCell ref="K60:N60"/>
    <mergeCell ref="K64:N64"/>
    <mergeCell ref="K66:N66"/>
    <mergeCell ref="K51:N51"/>
    <mergeCell ref="K54:N54"/>
  </mergeCells>
  <phoneticPr fontId="10" type="noConversion"/>
  <pageMargins left="0.70866141732283472" right="0.70866141732283472" top="0.74803149606299213" bottom="0.74803149606299213" header="0.31496062992125984" footer="0.31496062992125984"/>
  <pageSetup scale="85" orientation="landscape" horizontalDpi="300" verticalDpi="300" r:id="rId1"/>
  <ignoredErrors>
    <ignoredError sqref="C67:C78 C18 C4:C15 C20:C6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baseColWidth="10" defaultRowHeight="12.7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EXTRALIMITE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SAP WebAS</dc:creator>
  <cp:lastModifiedBy>cesteban</cp:lastModifiedBy>
  <cp:revision>1</cp:revision>
  <cp:lastPrinted>2020-07-30T18:46:46Z</cp:lastPrinted>
  <dcterms:created xsi:type="dcterms:W3CDTF">2019-05-02T20:05:42Z</dcterms:created>
  <dcterms:modified xsi:type="dcterms:W3CDTF">2020-08-03T21:12:23Z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81bc45df60e744c7a1bf0d0a173c5f3d</vt:lpwstr>
  </property>
</Properties>
</file>